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8"/>
  <workbookPr defaultThemeVersion="166925"/>
  <mc:AlternateContent xmlns:mc="http://schemas.openxmlformats.org/markup-compatibility/2006">
    <mc:Choice Requires="x15">
      <x15ac:absPath xmlns:x15ac="http://schemas.microsoft.com/office/spreadsheetml/2010/11/ac" url="C:\Trabajo\Panzardi\"/>
    </mc:Choice>
  </mc:AlternateContent>
  <xr:revisionPtr revIDLastSave="0" documentId="8_{6C2196C3-F55B-4FA1-923C-78503F4FCA7F}" xr6:coauthVersionLast="47" xr6:coauthVersionMax="47" xr10:uidLastSave="{00000000-0000-0000-0000-000000000000}"/>
  <bookViews>
    <workbookView xWindow="23880" yWindow="-120" windowWidth="24240" windowHeight="13140" firstSheet="11" activeTab="11" xr2:uid="{2F55FD97-A150-4635-BEF6-06F151F7D2EC}"/>
  </bookViews>
  <sheets>
    <sheet name="Schedule and costs" sheetId="1" r:id="rId1"/>
    <sheet name="Project benefits" sheetId="2" r:id="rId2"/>
    <sheet name="Flood Benefits" sheetId="14" r:id="rId3"/>
    <sheet name="Economic competitiveness" sheetId="5" r:id="rId4"/>
    <sheet name="TTS" sheetId="9" r:id="rId5"/>
    <sheet name="Vehicle O&amp;M" sheetId="11" r:id="rId6"/>
    <sheet name="Safety" sheetId="6" r:id="rId7"/>
    <sheet name="Emissions" sheetId="12" r:id="rId8"/>
    <sheet name="Residual Value" sheetId="7" r:id="rId9"/>
    <sheet name="DIscounting 7%" sheetId="8" r:id="rId10"/>
    <sheet name="Disc 3%" sheetId="13" r:id="rId11"/>
    <sheet name="Summary"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6" i="7"/>
  <c r="M38" i="13"/>
  <c r="M38" i="8"/>
  <c r="D39" i="13"/>
  <c r="D29" i="11" l="1"/>
  <c r="C29" i="11"/>
  <c r="B29" i="11"/>
  <c r="A6" i="5" l="1"/>
  <c r="B6" i="5"/>
  <c r="C6" i="5"/>
  <c r="D6" i="5"/>
  <c r="J4" i="14"/>
  <c r="H4" i="14"/>
  <c r="I4" i="14"/>
  <c r="D9" i="10" l="1"/>
  <c r="C9" i="10"/>
  <c r="B9" i="10"/>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R10" i="13"/>
  <c r="R9" i="13"/>
  <c r="R8" i="13"/>
  <c r="Q39"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8" i="8"/>
  <c r="R38" i="8" s="1"/>
  <c r="I38" i="8"/>
  <c r="Q8" i="8"/>
  <c r="R8" i="8" s="1"/>
  <c r="O8" i="8"/>
  <c r="A16" i="14"/>
  <c r="D6" i="14"/>
  <c r="D7" i="14" s="1"/>
  <c r="D8" i="14" s="1"/>
  <c r="D5" i="14"/>
  <c r="D4" i="14"/>
  <c r="D3" i="14"/>
  <c r="R37" i="8"/>
  <c r="R36" i="8"/>
  <c r="R35" i="8"/>
  <c r="R34" i="8"/>
  <c r="R33" i="8"/>
  <c r="R32" i="8"/>
  <c r="R31" i="8"/>
  <c r="R30" i="8"/>
  <c r="R29" i="8"/>
  <c r="R28" i="8"/>
  <c r="R27" i="8"/>
  <c r="R26" i="8"/>
  <c r="R25" i="8"/>
  <c r="R24" i="8"/>
  <c r="R23" i="8"/>
  <c r="R22" i="8"/>
  <c r="R21" i="8"/>
  <c r="R20" i="8"/>
  <c r="R19" i="8"/>
  <c r="R18" i="8"/>
  <c r="R17" i="8"/>
  <c r="R16" i="8"/>
  <c r="R15" i="8"/>
  <c r="R14" i="8"/>
  <c r="R13" i="8"/>
  <c r="R12" i="8"/>
  <c r="R11" i="8"/>
  <c r="R10" i="8"/>
  <c r="R9" i="8"/>
  <c r="R39" i="8" l="1"/>
  <c r="Q39" i="8"/>
  <c r="R22" i="12"/>
  <c r="P22" i="12"/>
  <c r="Q22" i="12"/>
  <c r="I8" i="13"/>
  <c r="E8" i="13"/>
  <c r="D27" i="11"/>
  <c r="B27" i="11"/>
  <c r="C27" i="11"/>
  <c r="B28" i="11"/>
  <c r="C28" i="11"/>
  <c r="D12" i="9"/>
  <c r="C8" i="5"/>
  <c r="B8" i="5"/>
  <c r="D7" i="5"/>
  <c r="C7" i="5"/>
  <c r="B7" i="5"/>
  <c r="D5" i="5"/>
  <c r="C14" i="10"/>
  <c r="B14" i="10"/>
  <c r="C6" i="10"/>
  <c r="B6" i="10"/>
  <c r="I39" i="13"/>
  <c r="J38" i="13"/>
  <c r="J37" i="13"/>
  <c r="J36" i="13"/>
  <c r="J35" i="13"/>
  <c r="J34" i="13"/>
  <c r="J33" i="13"/>
  <c r="J32" i="13"/>
  <c r="J31" i="13"/>
  <c r="J30" i="13"/>
  <c r="J29" i="13"/>
  <c r="J39" i="8"/>
  <c r="I39" i="8"/>
  <c r="J38" i="8"/>
  <c r="J37" i="8"/>
  <c r="J36" i="8"/>
  <c r="J35" i="8"/>
  <c r="J34" i="8"/>
  <c r="J33" i="8"/>
  <c r="J32" i="8"/>
  <c r="J31" i="8"/>
  <c r="J30" i="8"/>
  <c r="J29" i="8"/>
  <c r="I8" i="8"/>
  <c r="G8" i="8"/>
  <c r="I38" i="13"/>
  <c r="D5" i="10"/>
  <c r="H39" i="13"/>
  <c r="H38" i="13"/>
  <c r="H37" i="13"/>
  <c r="H36" i="13"/>
  <c r="H35" i="13"/>
  <c r="H34" i="13"/>
  <c r="H33" i="13"/>
  <c r="H32" i="13"/>
  <c r="H31" i="13"/>
  <c r="H30" i="13"/>
  <c r="H29" i="13"/>
  <c r="G39" i="13"/>
  <c r="G38" i="13"/>
  <c r="G8" i="13"/>
  <c r="C5" i="10"/>
  <c r="B5" i="10"/>
  <c r="H39" i="8"/>
  <c r="G39" i="8"/>
  <c r="H38" i="8"/>
  <c r="H37" i="8"/>
  <c r="H36" i="8"/>
  <c r="H35" i="8"/>
  <c r="H34" i="8"/>
  <c r="H33" i="8"/>
  <c r="H32" i="8"/>
  <c r="H31" i="8"/>
  <c r="H30" i="8"/>
  <c r="H29" i="8"/>
  <c r="G38" i="8"/>
  <c r="B16" i="7"/>
  <c r="D7" i="10"/>
  <c r="C7" i="10"/>
  <c r="B7" i="10"/>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39" i="13"/>
  <c r="K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K39"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J33" i="12"/>
  <c r="J34" i="12" s="1"/>
  <c r="J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J4" i="12"/>
  <c r="G33" i="12"/>
  <c r="G3" i="12"/>
  <c r="G34" i="12" s="1"/>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D33" i="12"/>
  <c r="K33" i="12" s="1"/>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4" i="10"/>
  <c r="C4" i="10"/>
  <c r="B4" i="10"/>
  <c r="D13" i="6"/>
  <c r="F39" i="13"/>
  <c r="F38" i="13"/>
  <c r="F37" i="13"/>
  <c r="F36" i="13"/>
  <c r="F35" i="13"/>
  <c r="F34" i="13"/>
  <c r="F33" i="13"/>
  <c r="F32" i="13"/>
  <c r="F31" i="13"/>
  <c r="F30" i="13"/>
  <c r="F29" i="13"/>
  <c r="E39" i="13"/>
  <c r="E38" i="13"/>
  <c r="C13" i="6"/>
  <c r="F38" i="8"/>
  <c r="F37" i="8"/>
  <c r="F36" i="8"/>
  <c r="F35" i="8"/>
  <c r="F34" i="8"/>
  <c r="F33" i="8"/>
  <c r="F32" i="8"/>
  <c r="F31" i="8"/>
  <c r="F30" i="8"/>
  <c r="F29" i="8"/>
  <c r="E38" i="8"/>
  <c r="E8" i="8"/>
  <c r="D4" i="6"/>
  <c r="E4" i="6" s="1"/>
  <c r="E39" i="8"/>
  <c r="B13" i="6" s="1"/>
  <c r="D14" i="10"/>
  <c r="D19" i="10" s="1"/>
  <c r="D36" i="13"/>
  <c r="D37" i="13"/>
  <c r="D38" i="13"/>
  <c r="D35" i="13"/>
  <c r="D34" i="13"/>
  <c r="D33" i="13"/>
  <c r="D32" i="13"/>
  <c r="D31" i="13"/>
  <c r="D30" i="13"/>
  <c r="D29" i="13"/>
  <c r="C39" i="13"/>
  <c r="C39" i="8"/>
  <c r="D39" i="8"/>
  <c r="D38" i="8"/>
  <c r="D37" i="8"/>
  <c r="D36" i="8"/>
  <c r="D35" i="8"/>
  <c r="D34" i="8"/>
  <c r="D33" i="8"/>
  <c r="D32" i="8"/>
  <c r="D31" i="8"/>
  <c r="D30" i="8"/>
  <c r="D29" i="8"/>
  <c r="D28" i="8"/>
  <c r="D3" i="10"/>
  <c r="P39" i="13"/>
  <c r="O39" i="13"/>
  <c r="P38" i="13"/>
  <c r="P37" i="13"/>
  <c r="P36" i="13"/>
  <c r="P35" i="13"/>
  <c r="P34" i="13"/>
  <c r="P33" i="13"/>
  <c r="P32" i="13"/>
  <c r="P31" i="13"/>
  <c r="P30" i="13"/>
  <c r="P29" i="13"/>
  <c r="P39" i="8"/>
  <c r="C12" i="9" s="1"/>
  <c r="N38" i="8" l="1"/>
  <c r="N39" i="8" s="1"/>
  <c r="C8" i="10" s="1"/>
  <c r="C10" i="10" s="1"/>
  <c r="C18" i="10" s="1"/>
  <c r="M39" i="8"/>
  <c r="C3" i="10"/>
  <c r="C5" i="5"/>
  <c r="B8" i="10" l="1"/>
  <c r="B10" i="10" s="1"/>
  <c r="B18" i="10" s="1"/>
  <c r="O39" i="8"/>
  <c r="F6" i="9"/>
  <c r="F5" i="9"/>
  <c r="F4" i="9"/>
  <c r="E6" i="9"/>
  <c r="E5" i="9"/>
  <c r="E4" i="9"/>
  <c r="M39" i="13" l="1"/>
  <c r="N38" i="13"/>
  <c r="N39" i="13" s="1"/>
  <c r="D8" i="10" s="1"/>
  <c r="D10" i="10" s="1"/>
  <c r="D18" i="10" s="1"/>
  <c r="B12" i="9"/>
  <c r="B5" i="5"/>
  <c r="B3" i="10"/>
  <c r="P28" i="13"/>
  <c r="P27" i="13"/>
  <c r="P26" i="13"/>
  <c r="P25" i="13"/>
  <c r="P24" i="13"/>
  <c r="P23" i="13"/>
  <c r="P22" i="13"/>
  <c r="P21" i="13"/>
  <c r="P20" i="13"/>
  <c r="P19" i="13"/>
  <c r="P18" i="13"/>
  <c r="P17" i="13"/>
  <c r="P16" i="13"/>
  <c r="P15" i="13"/>
  <c r="P14" i="13"/>
  <c r="P13" i="13"/>
  <c r="P12" i="13"/>
  <c r="P11" i="13"/>
  <c r="P10" i="13"/>
  <c r="P9" i="13"/>
  <c r="P8" i="13"/>
  <c r="J28" i="13"/>
  <c r="J27" i="13"/>
  <c r="J26" i="13"/>
  <c r="J25" i="13"/>
  <c r="J24" i="13"/>
  <c r="J23" i="13"/>
  <c r="J22" i="13"/>
  <c r="J21" i="13"/>
  <c r="J20" i="13"/>
  <c r="J19" i="13"/>
  <c r="J18" i="13"/>
  <c r="J17" i="13"/>
  <c r="J16" i="13"/>
  <c r="J15" i="13"/>
  <c r="J14" i="13"/>
  <c r="J13" i="13"/>
  <c r="J12" i="13"/>
  <c r="J11" i="13"/>
  <c r="J10" i="13"/>
  <c r="J9" i="13"/>
  <c r="J8" i="13"/>
  <c r="J39" i="13" s="1"/>
  <c r="H28" i="13"/>
  <c r="H27" i="13"/>
  <c r="H26" i="13"/>
  <c r="H25" i="13"/>
  <c r="H24" i="13"/>
  <c r="H23" i="13"/>
  <c r="H22" i="13"/>
  <c r="H21" i="13"/>
  <c r="H20" i="13"/>
  <c r="H19" i="13"/>
  <c r="H18" i="13"/>
  <c r="H17" i="13"/>
  <c r="H16" i="13"/>
  <c r="H15" i="13"/>
  <c r="H14" i="13"/>
  <c r="H13" i="13"/>
  <c r="H12" i="13"/>
  <c r="H11" i="13"/>
  <c r="H10" i="13"/>
  <c r="H9" i="13"/>
  <c r="H8" i="13"/>
  <c r="F28" i="13"/>
  <c r="F27" i="13"/>
  <c r="F26" i="13"/>
  <c r="F25" i="13"/>
  <c r="F24" i="13"/>
  <c r="F23" i="13"/>
  <c r="F22" i="13"/>
  <c r="F21" i="13"/>
  <c r="F20" i="13"/>
  <c r="F19" i="13"/>
  <c r="F18" i="13"/>
  <c r="F17" i="13"/>
  <c r="F16" i="13"/>
  <c r="F15" i="13"/>
  <c r="F14" i="13"/>
  <c r="F13" i="13"/>
  <c r="F12" i="13"/>
  <c r="F11" i="13"/>
  <c r="F10" i="13"/>
  <c r="F9" i="13"/>
  <c r="F8" i="13"/>
  <c r="D28" i="13"/>
  <c r="D27" i="13"/>
  <c r="D26" i="13"/>
  <c r="D25" i="13"/>
  <c r="D24" i="13"/>
  <c r="D23" i="13"/>
  <c r="D22" i="13"/>
  <c r="D21" i="13"/>
  <c r="D20" i="13"/>
  <c r="D19" i="13"/>
  <c r="D18" i="13"/>
  <c r="D17" i="13"/>
  <c r="D16" i="13"/>
  <c r="D15" i="13"/>
  <c r="D14" i="13"/>
  <c r="D13" i="13"/>
  <c r="D12" i="13"/>
  <c r="D11" i="13"/>
  <c r="D10" i="13"/>
  <c r="D9" i="13"/>
  <c r="D8" i="13"/>
  <c r="D7" i="13"/>
  <c r="D6" i="13"/>
  <c r="D5" i="13"/>
  <c r="O8" i="13"/>
  <c r="D4" i="13"/>
  <c r="J28" i="8"/>
  <c r="J27" i="8"/>
  <c r="J26" i="8"/>
  <c r="J25" i="8"/>
  <c r="J24" i="8"/>
  <c r="J23" i="8"/>
  <c r="J22" i="8"/>
  <c r="J21" i="8"/>
  <c r="J20" i="8"/>
  <c r="J19" i="8"/>
  <c r="J18" i="8"/>
  <c r="J17" i="8"/>
  <c r="J16" i="8"/>
  <c r="J15" i="8"/>
  <c r="J14" i="8"/>
  <c r="J13" i="8"/>
  <c r="J12" i="8"/>
  <c r="J11" i="8"/>
  <c r="J10" i="8"/>
  <c r="J9" i="8"/>
  <c r="J8" i="8"/>
  <c r="B19" i="11"/>
  <c r="D6" i="8"/>
  <c r="G19" i="11"/>
  <c r="B20" i="11" s="1"/>
  <c r="C3" i="12"/>
  <c r="D3" i="12" s="1"/>
  <c r="D34" i="12" l="1"/>
  <c r="K34" i="12" s="1"/>
  <c r="K3" i="12"/>
  <c r="D6" i="10"/>
  <c r="D28" i="11"/>
  <c r="D8" i="5"/>
  <c r="B21" i="11"/>
  <c r="H28" i="8"/>
  <c r="H8" i="8"/>
  <c r="C14" i="11"/>
  <c r="C13" i="11"/>
  <c r="C12" i="11"/>
  <c r="C11" i="11"/>
  <c r="C10" i="11"/>
  <c r="C9" i="11"/>
  <c r="C8" i="11"/>
  <c r="C7" i="11"/>
  <c r="C6" i="11"/>
  <c r="C5" i="11"/>
  <c r="C15" i="11" s="1"/>
  <c r="G14" i="11"/>
  <c r="H27" i="8"/>
  <c r="H26" i="8"/>
  <c r="H25" i="8"/>
  <c r="H24" i="8"/>
  <c r="H23" i="8"/>
  <c r="H22" i="8"/>
  <c r="H21" i="8"/>
  <c r="H20" i="8"/>
  <c r="H19" i="8"/>
  <c r="H18" i="8"/>
  <c r="H17" i="8"/>
  <c r="H16" i="8"/>
  <c r="H15" i="8"/>
  <c r="H14" i="8"/>
  <c r="H13" i="8"/>
  <c r="H12" i="8"/>
  <c r="H11" i="8"/>
  <c r="H10" i="8"/>
  <c r="H9" i="8"/>
  <c r="D20" i="10" l="1"/>
  <c r="D23" i="10"/>
  <c r="L39" i="8"/>
  <c r="D5" i="8" l="1"/>
  <c r="C12" i="1"/>
  <c r="C11" i="1"/>
  <c r="F17" i="8"/>
  <c r="F28" i="8"/>
  <c r="F27" i="8"/>
  <c r="F26" i="8"/>
  <c r="F25" i="8"/>
  <c r="F24" i="8"/>
  <c r="F23" i="8"/>
  <c r="F22" i="8"/>
  <c r="F21" i="8"/>
  <c r="F20" i="8"/>
  <c r="F19" i="8"/>
  <c r="F18" i="8"/>
  <c r="F16" i="8"/>
  <c r="F15" i="8"/>
  <c r="F14" i="8"/>
  <c r="F13" i="8"/>
  <c r="F12" i="8"/>
  <c r="F11" i="8"/>
  <c r="F10" i="8"/>
  <c r="F9" i="8"/>
  <c r="F8" i="8"/>
  <c r="D27" i="8"/>
  <c r="D26" i="8"/>
  <c r="D25" i="8"/>
  <c r="D24" i="8"/>
  <c r="D23" i="8"/>
  <c r="D22" i="8"/>
  <c r="D21" i="8"/>
  <c r="D20" i="8"/>
  <c r="D19" i="8"/>
  <c r="D18" i="8"/>
  <c r="D17" i="8"/>
  <c r="D16" i="8"/>
  <c r="D15" i="8"/>
  <c r="D14" i="8"/>
  <c r="D13" i="8"/>
  <c r="D12" i="8"/>
  <c r="D11" i="8"/>
  <c r="D10" i="8"/>
  <c r="D9" i="8"/>
  <c r="D8" i="8"/>
  <c r="D7" i="8"/>
  <c r="D4" i="8"/>
  <c r="B6" i="6"/>
  <c r="D6" i="6" s="1"/>
  <c r="E6" i="6" s="1"/>
  <c r="B5" i="6"/>
  <c r="D5" i="6" s="1"/>
  <c r="E5" i="6" s="1"/>
  <c r="E7" i="6" l="1"/>
  <c r="B19" i="10"/>
  <c r="C19" i="10"/>
  <c r="F39" i="8"/>
  <c r="C13" i="1"/>
  <c r="B23" i="10" l="1"/>
  <c r="C20" i="10" l="1"/>
  <c r="B20" i="10"/>
  <c r="C23" i="10"/>
</calcChain>
</file>

<file path=xl/sharedStrings.xml><?xml version="1.0" encoding="utf-8"?>
<sst xmlns="http://schemas.openxmlformats.org/spreadsheetml/2006/main" count="378" uniqueCount="223">
  <si>
    <t>Table 1: Project Schedule and Costs, Millions of 2020 Dollars</t>
  </si>
  <si>
    <t xml:space="preserve">Variable </t>
  </si>
  <si>
    <t xml:space="preserve">Unit </t>
  </si>
  <si>
    <t>Value</t>
  </si>
  <si>
    <t xml:space="preserve">Construction Start </t>
  </si>
  <si>
    <t xml:space="preserve">year </t>
  </si>
  <si>
    <t>Construction Ends</t>
  </si>
  <si>
    <t xml:space="preserve">Construction Duration </t>
  </si>
  <si>
    <t>years</t>
  </si>
  <si>
    <t xml:space="preserve">Project Opening </t>
  </si>
  <si>
    <t>Capital Cost – Construction  (2022 Dollars)</t>
  </si>
  <si>
    <t>$M</t>
  </si>
  <si>
    <t>Capital Cost – Soft Costs $ M  (2022 Dollars)</t>
  </si>
  <si>
    <t>Capital Cost Total (2022 Dollars)</t>
  </si>
  <si>
    <t>Capital Cost – Construction  (2020 Dollars)</t>
  </si>
  <si>
    <t>Capital Cost – Soft Costs $ M  (2020 Dollars)</t>
  </si>
  <si>
    <t>Capital Cost Total (2020 Dollars)</t>
  </si>
  <si>
    <t>Analysis period</t>
  </si>
  <si>
    <t>year</t>
  </si>
  <si>
    <t>2026-2056</t>
  </si>
  <si>
    <t>Soure: Puerto Rico Highway and Transportation Authority, PPA Calculations</t>
  </si>
  <si>
    <t>Project Benefits by Long-Term Outcome Category</t>
  </si>
  <si>
    <t>Long-Term Outcome</t>
  </si>
  <si>
    <t>Benefit (Disbenefit)</t>
  </si>
  <si>
    <t>Description</t>
  </si>
  <si>
    <t>Monetized</t>
  </si>
  <si>
    <t>Quantified</t>
  </si>
  <si>
    <t>Qualitative</t>
  </si>
  <si>
    <t>Economic Competitiveness</t>
  </si>
  <si>
    <t>Travel Time Savings</t>
  </si>
  <si>
    <t>Based on travel saved hours</t>
  </si>
  <si>
    <t>x</t>
  </si>
  <si>
    <t>Flood Savings Benefits</t>
  </si>
  <si>
    <t>HMP 2019 Mayaguez, 2019, PPA Calcs</t>
  </si>
  <si>
    <t>Vehicle Operating Costs</t>
  </si>
  <si>
    <t>Fuel Savings</t>
  </si>
  <si>
    <t>Based on gasoline savings estimates</t>
  </si>
  <si>
    <t>Safety</t>
  </si>
  <si>
    <t>Reduced Incidents</t>
  </si>
  <si>
    <t>Based on historical data</t>
  </si>
  <si>
    <t>Property damages</t>
  </si>
  <si>
    <t>Personal Injuries</t>
  </si>
  <si>
    <t>Environmental Sustainability</t>
  </si>
  <si>
    <t>Emissions Reduction</t>
  </si>
  <si>
    <r>
      <t>CO</t>
    </r>
    <r>
      <rPr>
        <vertAlign val="subscript"/>
        <sz val="11"/>
        <color theme="1"/>
        <rFont val="Calibri"/>
        <family val="2"/>
        <scheme val="minor"/>
      </rPr>
      <t>2</t>
    </r>
    <r>
      <rPr>
        <sz val="11"/>
        <color theme="1"/>
        <rFont val="Calibri"/>
        <family val="2"/>
        <scheme val="minor"/>
      </rPr>
      <t>, SO</t>
    </r>
    <r>
      <rPr>
        <vertAlign val="subscript"/>
        <sz val="11"/>
        <color theme="1"/>
        <rFont val="Calibri"/>
        <family val="2"/>
        <scheme val="minor"/>
      </rPr>
      <t>x</t>
    </r>
    <r>
      <rPr>
        <sz val="11"/>
        <color theme="1"/>
        <rFont val="Calibri"/>
        <family val="2"/>
        <scheme val="minor"/>
      </rPr>
      <t>, NO</t>
    </r>
    <r>
      <rPr>
        <vertAlign val="subscript"/>
        <sz val="11"/>
        <color theme="1"/>
        <rFont val="Calibri"/>
        <family val="2"/>
        <scheme val="minor"/>
      </rPr>
      <t>x</t>
    </r>
    <r>
      <rPr>
        <sz val="11"/>
        <color theme="1"/>
        <rFont val="Calibri"/>
        <family val="2"/>
        <scheme val="minor"/>
      </rPr>
      <t xml:space="preserve"> values</t>
    </r>
  </si>
  <si>
    <t>Environmental Damage</t>
  </si>
  <si>
    <t>N/A</t>
  </si>
  <si>
    <t>Noise Reduction</t>
  </si>
  <si>
    <t>System Reliability</t>
  </si>
  <si>
    <t>Service Reliability</t>
  </si>
  <si>
    <t>Project purpose</t>
  </si>
  <si>
    <t>Project Delivery</t>
  </si>
  <si>
    <t>Program Management</t>
  </si>
  <si>
    <t>Infrastructure Condition</t>
  </si>
  <si>
    <t>Hazard Resilience</t>
  </si>
  <si>
    <t>Facility Damage</t>
  </si>
  <si>
    <t>Road Condition</t>
  </si>
  <si>
    <t>Impacted Area</t>
  </si>
  <si>
    <t>Units</t>
  </si>
  <si>
    <t>Average Lost</t>
  </si>
  <si>
    <t>Total</t>
  </si>
  <si>
    <t>Reference</t>
  </si>
  <si>
    <t>Benefit</t>
  </si>
  <si>
    <t>Project life 2026-2056</t>
  </si>
  <si>
    <t>Mayaguez Terrace</t>
  </si>
  <si>
    <t>HMP 2019 Mayaguez, 2019</t>
  </si>
  <si>
    <t>Undiscounted</t>
  </si>
  <si>
    <t>Discounted 7%</t>
  </si>
  <si>
    <t>Discounted 3%</t>
  </si>
  <si>
    <t>Urb Ensanche Ramirez</t>
  </si>
  <si>
    <t>Flood Savings</t>
  </si>
  <si>
    <t>Comercial self-standing stores</t>
  </si>
  <si>
    <t>UPR General Studies Parking Lot (738 Parkings spaces in 234,000 SF Lot)</t>
  </si>
  <si>
    <t>2008 FEMA Std Values App C (COM 10) 0.36 dollars/p2/month</t>
  </si>
  <si>
    <t>Total per Event based on HMP values and FEMA 2008 Std values</t>
  </si>
  <si>
    <t>per event (2 events: Sept 2010, Sept 2017)</t>
  </si>
  <si>
    <t>Probability of Annual Occurrence</t>
  </si>
  <si>
    <t>https://www.weather.gov/epz/wxcalc_floodperiod</t>
  </si>
  <si>
    <t>Calculations for UPR Parking Data</t>
  </si>
  <si>
    <t>SF (parking lot RUM)</t>
  </si>
  <si>
    <t>FEMA per SF per month (2009 prices)</t>
  </si>
  <si>
    <t>3 dias de 30</t>
  </si>
  <si>
    <t>Another element of economic competitiveness included in this BCA was the modelling of floods in the project area. PPA photointerpreted the flood areas in the project footprint by using post-disaster imagery provided by NOAA for Hurricane María (2017). The average loss values were obtained from the Hazard Mitigation Plan (2019) which stablished the average loss costs per residential and non-residential structures as: $19,089.00 per residential unit and, $1,327,000.00 for Non-residential, including commercial self-standing stores and related expenses due to loss of services. Parking lots compensation was obtained from the FEMA Standard Values Guide (Appendix C, COM 10). This value is defined as $0.36 dollars/SF/month. PPA identified at least two (2) flood events in the project area from the HMP document list.</t>
  </si>
  <si>
    <t>Economic Competitiveness Estimation of Benefits, Millions of 2020 Dollars</t>
  </si>
  <si>
    <t>Project life (2026-2056)</t>
  </si>
  <si>
    <t>Value of travel time savings</t>
  </si>
  <si>
    <t>O&amp;M Cost Trucks (20%)</t>
  </si>
  <si>
    <t>Fuel Savings Cars (80%)</t>
  </si>
  <si>
    <r>
      <t>1. La información que da base a los cálculos presentados sale de los resultados de las modelaciones para la condición existente (base), evaluada y presentada en el informe titulado; “</t>
    </r>
    <r>
      <rPr>
        <sz val="11"/>
        <color rgb="FF000000"/>
        <rFont val="Times New Roman"/>
        <family val="1"/>
      </rPr>
      <t>Traffic Impact study &amp; Access Modification Justification PR-2 Km 152 to 154” (AC-200241).  Los mismos se encuentran en el Apéndice D páginas 170 a la 193. Este informe fue preparado y certificado por el ingeniero José Parejo de la firma PLC Traffic Consulting Engineers, LLC.  El informe fue el aceptado por la ACT y la FHWA como el requerido para este proyecto.</t>
    </r>
  </si>
  <si>
    <t>2. En el anejo se presentan tres (3) tablas.</t>
  </si>
  <si>
    <t>1. La primera tabla muestra datos y medidas de desempeño para la hora pico de la mañana y de la tarde en cada una de las intersecciones que se eliminarán para los movimientos rectos de la PR-2. De las mencionadas modelaciones se obtuvo, sólo para los mencionados movimientos rectos, el flujo vehicular y la demora promedio añadida a cada vehículo por el sistema de control semaforizado.  La multiplicación de estos dos valores se  presenta como la demora acumulada en horas para cada una de las mencionadas horas pico. La sumatoria de estas demoras acumuladas representa el tiempo ahorrado por los vehículos en los movimientos rectos en la vía interestatal. </t>
  </si>
  <si>
    <t>2. La segunda tabla presenta los factores suplidos por Omar Negrón para estimar el consumo de combustible y las emisiones como función del tiempo en “ idle” de los vehículos.  La multiplicación de estos factores por la demora acumulada se presenta en la tabla 1 para cada uno de los movimientos junto a su sumatoria para el tramos sujeto del proyecto.  </t>
  </si>
  <si>
    <t xml:space="preserve">3. La tabla 3 pretende proyectar los valores computados a una cifra anual. Sin embargo, debido a las limitaciones de los estudios realizados los resultados obtenidos sólo representan el ahorro en tiempo, consuno de combustible y emisiones de CO2 correspondiente a dos horas de un día típico de semana donde se estén impartiendo clases en las instituciones educativas.  Por tanto, la suma de los totales  de estas medidas de desempeño para ambas horas se presenta en la primera columna de esta tabla, seguida de una proyección anual, multiplicando este valor por 182 días. El número de 182 días surge del calendario publicado por el departamento de Educación que establece esta cantidad de días lectivos.  La tercera columna recoge la multiplicación de esta proyección anual por 20 años según nos fue solicitado.   El estimado correspondiente a las emisiones se presenta en dos unidades, libras y toneladas. </t>
  </si>
  <si>
    <t>Re: Table A3- Value of Travel Time Savings</t>
  </si>
  <si>
    <t>Re: Table A-1 Value of Reduced Fatalities and Injuries</t>
  </si>
  <si>
    <t>Table A-3 values</t>
  </si>
  <si>
    <t>Mode distribution</t>
  </si>
  <si>
    <t>Annual hours saved</t>
  </si>
  <si>
    <t>Distribution per mode</t>
  </si>
  <si>
    <t>Benefit Cost Analysis Guidance for Discretionary Grant Programs</t>
  </si>
  <si>
    <t xml:space="preserve">Personal </t>
  </si>
  <si>
    <t>U.S. Department of Transportation</t>
  </si>
  <si>
    <t>Business</t>
  </si>
  <si>
    <t>March 2022 (Revised)</t>
  </si>
  <si>
    <t>Truck Drivers</t>
  </si>
  <si>
    <t>Total per year</t>
  </si>
  <si>
    <t>Travel time savings summary inputs</t>
  </si>
  <si>
    <t>Mode distribution assumed</t>
  </si>
  <si>
    <t>Saved hours</t>
  </si>
  <si>
    <t xml:space="preserve">Analysis Period </t>
  </si>
  <si>
    <t>30 Years</t>
  </si>
  <si>
    <t>Annual average</t>
  </si>
  <si>
    <t>Vehicle O&amp;M</t>
  </si>
  <si>
    <t>RE: Table A-5 Vehicle Operating Costs</t>
  </si>
  <si>
    <t>Motor Carrier</t>
  </si>
  <si>
    <t>Vehicle based</t>
  </si>
  <si>
    <t>Marginal Cost</t>
  </si>
  <si>
    <t>Savings</t>
  </si>
  <si>
    <t>Fuel cost</t>
  </si>
  <si>
    <t>Truck/Trailer Lease or Purchase Payments</t>
  </si>
  <si>
    <t>RE: ATRI</t>
  </si>
  <si>
    <t>Repair &amp; maintenance</t>
  </si>
  <si>
    <t>Table 9:Average Marginal Cost Per Hour 2011-2020</t>
  </si>
  <si>
    <t>Truck Insurance Premiums</t>
  </si>
  <si>
    <t>https://truckingresearch.org/</t>
  </si>
  <si>
    <t>Permits &amp; Licences</t>
  </si>
  <si>
    <t>Tires</t>
  </si>
  <si>
    <t>Tolls</t>
  </si>
  <si>
    <t>Data Input Truck (20%)</t>
  </si>
  <si>
    <t>Driver based</t>
  </si>
  <si>
    <t>Annual Accumulated Delay Hours</t>
  </si>
  <si>
    <t>Driver wages</t>
  </si>
  <si>
    <t>% Assigned to trucks</t>
  </si>
  <si>
    <t>Driver benefits</t>
  </si>
  <si>
    <t>Annual to Trucks</t>
  </si>
  <si>
    <t>Total:</t>
  </si>
  <si>
    <t>Data Input Cars (80%)</t>
  </si>
  <si>
    <t xml:space="preserve">Annual Fuel Saved </t>
  </si>
  <si>
    <t>Cars</t>
  </si>
  <si>
    <t>Values</t>
  </si>
  <si>
    <t>% Cars</t>
  </si>
  <si>
    <t>Gasoline Cost (2020)</t>
  </si>
  <si>
    <t>Annual to Cars</t>
  </si>
  <si>
    <t>Annual Gasoline Savings Cars</t>
  </si>
  <si>
    <t>Gasoline Average Price 2022</t>
  </si>
  <si>
    <t>Annual Gas Savings</t>
  </si>
  <si>
    <t>RE: Gasoline Average Price</t>
  </si>
  <si>
    <t>https://www.eia.gov/</t>
  </si>
  <si>
    <t>Trucks (20%)</t>
  </si>
  <si>
    <t>Cars (80%)</t>
  </si>
  <si>
    <t>Totals:</t>
  </si>
  <si>
    <t>Safety Benefits</t>
  </si>
  <si>
    <t>Data Input</t>
  </si>
  <si>
    <t>Total Annual incidents</t>
  </si>
  <si>
    <t>KABCO Value</t>
  </si>
  <si>
    <t>Reduced incidents (.73 CMF)</t>
  </si>
  <si>
    <t>Incident Reduction Value</t>
  </si>
  <si>
    <t>Re: Table A- 2 Property Damage Only (PDO) Crashes</t>
  </si>
  <si>
    <t>Fatal crash</t>
  </si>
  <si>
    <t>Injury crash</t>
  </si>
  <si>
    <t>Property damage</t>
  </si>
  <si>
    <t>Totals</t>
  </si>
  <si>
    <t>Re: CMF Clearinghouse</t>
  </si>
  <si>
    <t>https://www.cmfclearinghouse.org/</t>
  </si>
  <si>
    <t>Total 30 Years</t>
  </si>
  <si>
    <t>Discounted (7%)</t>
  </si>
  <si>
    <t>Discounted (3%)</t>
  </si>
  <si>
    <t>Recommended Monetized Value</t>
  </si>
  <si>
    <t xml:space="preserve">Year </t>
  </si>
  <si>
    <r>
      <t>CO</t>
    </r>
    <r>
      <rPr>
        <b/>
        <vertAlign val="subscript"/>
        <sz val="11"/>
        <color theme="1"/>
        <rFont val="Calibri"/>
        <family val="2"/>
        <scheme val="minor"/>
      </rPr>
      <t>2</t>
    </r>
    <r>
      <rPr>
        <b/>
        <sz val="11"/>
        <color theme="1"/>
        <rFont val="Calibri"/>
        <family val="2"/>
        <scheme val="minor"/>
      </rPr>
      <t xml:space="preserve"> Emission</t>
    </r>
  </si>
  <si>
    <t>NOx Emission</t>
  </si>
  <si>
    <t>SOx Emission</t>
  </si>
  <si>
    <t>Total Emission Reduction</t>
  </si>
  <si>
    <t>Re: Table A-6 Damage Costs for Emissions per Metric Ton</t>
  </si>
  <si>
    <t>Data Input:</t>
  </si>
  <si>
    <r>
      <t>CO</t>
    </r>
    <r>
      <rPr>
        <b/>
        <vertAlign val="subscript"/>
        <sz val="11"/>
        <color theme="1"/>
        <rFont val="Calibri"/>
        <family val="2"/>
        <scheme val="minor"/>
      </rPr>
      <t>2</t>
    </r>
    <r>
      <rPr>
        <b/>
        <sz val="11"/>
        <color theme="1"/>
        <rFont val="Calibri"/>
        <family val="2"/>
        <scheme val="minor"/>
      </rPr>
      <t xml:space="preserve"> Emission (ton)</t>
    </r>
  </si>
  <si>
    <t>Annualized</t>
  </si>
  <si>
    <r>
      <t>NO</t>
    </r>
    <r>
      <rPr>
        <b/>
        <vertAlign val="subscript"/>
        <sz val="11"/>
        <color theme="1"/>
        <rFont val="Calibri"/>
        <family val="2"/>
        <scheme val="minor"/>
      </rPr>
      <t>x</t>
    </r>
    <r>
      <rPr>
        <b/>
        <sz val="11"/>
        <color theme="1"/>
        <rFont val="Calibri"/>
        <family val="2"/>
        <scheme val="minor"/>
      </rPr>
      <t xml:space="preserve"> Emission (ton)</t>
    </r>
  </si>
  <si>
    <r>
      <t>SO</t>
    </r>
    <r>
      <rPr>
        <b/>
        <vertAlign val="subscript"/>
        <sz val="11"/>
        <color theme="1"/>
        <rFont val="Calibri"/>
        <family val="2"/>
        <scheme val="minor"/>
      </rPr>
      <t>x</t>
    </r>
    <r>
      <rPr>
        <b/>
        <sz val="11"/>
        <color theme="1"/>
        <rFont val="Calibri"/>
        <family val="2"/>
        <scheme val="minor"/>
      </rPr>
      <t xml:space="preserve"> Emission (ton)</t>
    </r>
  </si>
  <si>
    <t>Source: Traffic Study</t>
  </si>
  <si>
    <t>Emissions Benefits</t>
  </si>
  <si>
    <t>CO2 Emission (ton)</t>
  </si>
  <si>
    <t>NOx Emission (ton)</t>
  </si>
  <si>
    <t>SOx Emission (ton)</t>
  </si>
  <si>
    <t>Technical Support Document: Estimating the Benefit per Ton of Reducing PM2.5 Precursors from 17 Sectors (February 2018)”</t>
  </si>
  <si>
    <t>https://www.epa.gov/sites/default/files/2018-02/documents/sourceapportionmentbpttsd_2018.pdf</t>
  </si>
  <si>
    <t>2056 (5 months)</t>
  </si>
  <si>
    <t>Residual Value Calculation</t>
  </si>
  <si>
    <t>30 years</t>
  </si>
  <si>
    <t>Re: Example of Residual value Calculations</t>
  </si>
  <si>
    <t>Total Service Life</t>
  </si>
  <si>
    <t>60 years</t>
  </si>
  <si>
    <t>Total cost 7% Discount</t>
  </si>
  <si>
    <t>Residual value 7%</t>
  </si>
  <si>
    <t>Total cost 3% Discount</t>
  </si>
  <si>
    <t>Residual value 3%</t>
  </si>
  <si>
    <t>Residual Value</t>
  </si>
  <si>
    <t>U</t>
  </si>
  <si>
    <t>Y</t>
  </si>
  <si>
    <t>Project cost</t>
  </si>
  <si>
    <t>7% Discount</t>
  </si>
  <si>
    <t>3% Discount</t>
  </si>
  <si>
    <t>Year</t>
  </si>
  <si>
    <t>Project year</t>
  </si>
  <si>
    <t>Total Costs (CAPEX and O&amp;M)</t>
  </si>
  <si>
    <t>Vehicle Operation Cost - Trucks</t>
  </si>
  <si>
    <t>Fuel Savings - Cars (80%)</t>
  </si>
  <si>
    <r>
      <t>Emission Reduction CO</t>
    </r>
    <r>
      <rPr>
        <b/>
        <vertAlign val="subscript"/>
        <sz val="11"/>
        <color theme="1"/>
        <rFont val="Calibri"/>
        <family val="2"/>
        <scheme val="minor"/>
      </rPr>
      <t>2,</t>
    </r>
    <r>
      <rPr>
        <b/>
        <sz val="11"/>
        <color theme="1"/>
        <rFont val="Calibri"/>
        <family val="2"/>
        <scheme val="minor"/>
      </rPr>
      <t xml:space="preserve"> NO</t>
    </r>
    <r>
      <rPr>
        <b/>
        <vertAlign val="subscript"/>
        <sz val="11"/>
        <color theme="1"/>
        <rFont val="Calibri"/>
        <family val="2"/>
        <scheme val="minor"/>
      </rPr>
      <t>x,</t>
    </r>
    <r>
      <rPr>
        <b/>
        <sz val="11"/>
        <color theme="1"/>
        <rFont val="Calibri"/>
        <family val="2"/>
        <scheme val="minor"/>
      </rPr>
      <t xml:space="preserve"> SO</t>
    </r>
    <r>
      <rPr>
        <b/>
        <vertAlign val="subscript"/>
        <sz val="11"/>
        <color theme="1"/>
        <rFont val="Calibri"/>
        <family val="2"/>
        <scheme val="minor"/>
      </rPr>
      <t>x</t>
    </r>
  </si>
  <si>
    <t>Value of Travel Time Savings</t>
  </si>
  <si>
    <t>Disc TTS at 7%</t>
  </si>
  <si>
    <t xml:space="preserve">Value of Flood Savings </t>
  </si>
  <si>
    <t>2023 (7 months)</t>
  </si>
  <si>
    <t>2026 (5 months)</t>
  </si>
  <si>
    <t>2026 (7 months)</t>
  </si>
  <si>
    <t>Emission Reduction CO2, NOx, SOx</t>
  </si>
  <si>
    <t>Disc TTS at 3%</t>
  </si>
  <si>
    <t>Benefits</t>
  </si>
  <si>
    <t>Vehicle Operation Cost - Trucks (20%)</t>
  </si>
  <si>
    <t>Costs</t>
  </si>
  <si>
    <t>Cummulative Benefits (2020 Dollars)</t>
  </si>
  <si>
    <t>Cummulative Costs (2020 Dollars)</t>
  </si>
  <si>
    <t>BCA Ratio</t>
  </si>
  <si>
    <t>NPV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</si>
</sst>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Red]\-&quot;$&quot;#,##0.00"/>
    <numFmt numFmtId="165" formatCode="_-&quot;$&quot;* #,##0.00_-;\-&quot;$&quot;* #,##0.00_-;_-&quot;$&quot;* &quot;-&quot;??_-;_-@_-"/>
    <numFmt numFmtId="166" formatCode="_-* #,##0.00_-;\-* #,##0.00_-;_-* &quot;-&quot;??_-;_-@_-"/>
    <numFmt numFmtId="167" formatCode="&quot;$&quot;#,##0.0000;[Red]\-&quot;$&quot;#,##0.0000"/>
    <numFmt numFmtId="168" formatCode="0.0"/>
  </numFmts>
  <fonts count="22">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b/>
      <sz val="10"/>
      <color theme="1"/>
      <name val="Arial"/>
      <family val="2"/>
    </font>
    <font>
      <sz val="10"/>
      <color rgb="FF000000"/>
      <name val="Times New Roman"/>
      <family val="1"/>
    </font>
    <font>
      <sz val="9"/>
      <name val="Arial MT"/>
    </font>
    <font>
      <sz val="12"/>
      <color rgb="FF9C0006"/>
      <name val="Calibri"/>
      <family val="2"/>
      <scheme val="minor"/>
    </font>
    <font>
      <sz val="11"/>
      <color rgb="FFFF0000"/>
      <name val="Calibri"/>
      <family val="2"/>
      <scheme val="minor"/>
    </font>
    <font>
      <sz val="10"/>
      <color rgb="FFFF0000"/>
      <name val="Times New Roman"/>
      <family val="1"/>
    </font>
    <font>
      <sz val="9"/>
      <color rgb="FF231F20"/>
      <name val="Arial MT"/>
      <family val="2"/>
    </font>
    <font>
      <u/>
      <sz val="11"/>
      <color theme="10"/>
      <name val="Calibri"/>
      <family val="2"/>
      <scheme val="minor"/>
    </font>
    <font>
      <b/>
      <sz val="12"/>
      <color theme="1"/>
      <name val="Calibri"/>
      <family val="2"/>
    </font>
    <font>
      <sz val="12"/>
      <color theme="1"/>
      <name val="Calibri"/>
      <family val="2"/>
    </font>
    <font>
      <sz val="12"/>
      <name val="Calibri"/>
      <family val="2"/>
    </font>
    <font>
      <sz val="11"/>
      <color rgb="FF000000"/>
      <name val="Times New Roman"/>
      <family val="1"/>
    </font>
    <font>
      <b/>
      <vertAlign val="subscript"/>
      <sz val="11"/>
      <color theme="1"/>
      <name val="Calibri"/>
      <family val="2"/>
      <scheme val="minor"/>
    </font>
    <font>
      <b/>
      <sz val="12"/>
      <color theme="1"/>
      <name val="Calibri"/>
      <family val="2"/>
      <scheme val="minor"/>
    </font>
    <font>
      <vertAlign val="subscript"/>
      <sz val="11"/>
      <color theme="1"/>
      <name val="Calibri"/>
      <family val="2"/>
      <scheme val="minor"/>
    </font>
    <font>
      <b/>
      <u/>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rgb="FF231F20"/>
      </left>
      <right style="thin">
        <color rgb="FF231F20"/>
      </right>
      <top style="thin">
        <color rgb="FF231F20"/>
      </top>
      <bottom style="thin">
        <color rgb="FF231F2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8">
    <xf numFmtId="0" fontId="0" fillId="0" borderId="0"/>
    <xf numFmtId="165" fontId="1" fillId="0" borderId="0" applyFont="0" applyFill="0" applyBorder="0" applyAlignment="0" applyProtection="0"/>
    <xf numFmtId="0" fontId="6" fillId="0" borderId="0"/>
    <xf numFmtId="165" fontId="6" fillId="0" borderId="0" applyFont="0" applyFill="0" applyBorder="0" applyAlignment="0" applyProtection="0"/>
    <xf numFmtId="0" fontId="8" fillId="2" borderId="0" applyNumberFormat="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66">
    <xf numFmtId="0" fontId="0" fillId="0" borderId="0" xfId="0"/>
    <xf numFmtId="0" fontId="3" fillId="0" borderId="0" xfId="0" applyFont="1"/>
    <xf numFmtId="0" fontId="2" fillId="0" borderId="0" xfId="0" applyFont="1"/>
    <xf numFmtId="164" fontId="0" fillId="0" borderId="0" xfId="0" applyNumberFormat="1"/>
    <xf numFmtId="0" fontId="0" fillId="0" borderId="0" xfId="0" applyAlignment="1">
      <alignment horizontal="right"/>
    </xf>
    <xf numFmtId="167" fontId="0" fillId="0" borderId="0" xfId="0" applyNumberFormat="1"/>
    <xf numFmtId="4" fontId="0" fillId="0" borderId="0" xfId="0" applyNumberFormat="1"/>
    <xf numFmtId="0" fontId="0" fillId="0" borderId="1" xfId="0" applyBorder="1"/>
    <xf numFmtId="0" fontId="2" fillId="0" borderId="1" xfId="0" applyFont="1" applyBorder="1"/>
    <xf numFmtId="0" fontId="3" fillId="0" borderId="1" xfId="0" applyFont="1" applyBorder="1"/>
    <xf numFmtId="165" fontId="0" fillId="0" borderId="1" xfId="1" applyFont="1" applyBorder="1"/>
    <xf numFmtId="164" fontId="0" fillId="0" borderId="1" xfId="0" applyNumberFormat="1" applyBorder="1"/>
    <xf numFmtId="165" fontId="0" fillId="0" borderId="0" xfId="1" applyFont="1"/>
    <xf numFmtId="165" fontId="0" fillId="0" borderId="0" xfId="0" applyNumberFormat="1"/>
    <xf numFmtId="0" fontId="5" fillId="0" borderId="1" xfId="0" applyFont="1" applyBorder="1"/>
    <xf numFmtId="165" fontId="0" fillId="0" borderId="1" xfId="1" applyFont="1" applyBorder="1" applyAlignment="1">
      <alignment horizontal="right"/>
    </xf>
    <xf numFmtId="0" fontId="4" fillId="0" borderId="1" xfId="0" applyFont="1" applyBorder="1"/>
    <xf numFmtId="165" fontId="0" fillId="0" borderId="1" xfId="0" applyNumberFormat="1" applyBorder="1"/>
    <xf numFmtId="0" fontId="0" fillId="0" borderId="1" xfId="0" applyBorder="1" applyAlignment="1">
      <alignment horizontal="right"/>
    </xf>
    <xf numFmtId="165" fontId="2" fillId="0" borderId="1" xfId="1" applyFont="1" applyBorder="1"/>
    <xf numFmtId="165" fontId="0" fillId="0" borderId="0" xfId="1" applyFont="1" applyFill="1"/>
    <xf numFmtId="165" fontId="2" fillId="0" borderId="1" xfId="0" applyNumberFormat="1" applyFont="1" applyBorder="1"/>
    <xf numFmtId="164" fontId="2" fillId="0" borderId="1" xfId="0" applyNumberFormat="1" applyFont="1" applyBorder="1"/>
    <xf numFmtId="165" fontId="0" fillId="0" borderId="1" xfId="1" applyFont="1" applyFill="1" applyBorder="1"/>
    <xf numFmtId="0" fontId="0" fillId="0" borderId="0" xfId="0" applyAlignment="1">
      <alignment wrapText="1"/>
    </xf>
    <xf numFmtId="0" fontId="0" fillId="3" borderId="0" xfId="0" applyFill="1"/>
    <xf numFmtId="165" fontId="0" fillId="3" borderId="0" xfId="1" applyFont="1" applyFill="1"/>
    <xf numFmtId="164" fontId="0" fillId="3" borderId="0" xfId="0" applyNumberFormat="1" applyFill="1"/>
    <xf numFmtId="165" fontId="0" fillId="3" borderId="0" xfId="0" applyNumberFormat="1" applyFill="1"/>
    <xf numFmtId="165" fontId="7" fillId="0" borderId="7" xfId="3" applyFont="1" applyFill="1" applyBorder="1" applyAlignment="1">
      <alignment horizontal="left" vertical="top" wrapText="1"/>
    </xf>
    <xf numFmtId="0" fontId="0" fillId="0" borderId="0" xfId="0"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vertical="center" indent="2"/>
    </xf>
    <xf numFmtId="17" fontId="2" fillId="0" borderId="0" xfId="1" applyNumberFormat="1" applyFont="1"/>
    <xf numFmtId="0" fontId="2" fillId="0" borderId="2" xfId="0" applyFont="1" applyBorder="1"/>
    <xf numFmtId="165" fontId="7" fillId="0" borderId="0" xfId="1" applyFont="1" applyFill="1" applyBorder="1" applyAlignment="1">
      <alignment horizontal="left" vertical="top" wrapText="1"/>
    </xf>
    <xf numFmtId="0" fontId="10" fillId="0" borderId="0" xfId="0" applyFont="1" applyAlignment="1">
      <alignment horizontal="left" vertical="top"/>
    </xf>
    <xf numFmtId="44" fontId="0" fillId="0" borderId="0" xfId="0" applyNumberFormat="1" applyAlignment="1">
      <alignment horizontal="left" vertical="top"/>
    </xf>
    <xf numFmtId="0" fontId="11" fillId="0" borderId="0" xfId="0" applyFont="1" applyAlignment="1">
      <alignment horizontal="left" vertical="top" wrapText="1"/>
    </xf>
    <xf numFmtId="165" fontId="7" fillId="0" borderId="0" xfId="1" applyFont="1" applyFill="1" applyBorder="1" applyAlignment="1">
      <alignment horizontal="right" vertical="top" wrapText="1"/>
    </xf>
    <xf numFmtId="0" fontId="7" fillId="0" borderId="0" xfId="0" applyFont="1" applyAlignment="1">
      <alignment horizontal="left" vertical="top" wrapText="1"/>
    </xf>
    <xf numFmtId="165" fontId="11" fillId="0" borderId="0" xfId="1" applyFont="1" applyFill="1" applyBorder="1" applyAlignment="1">
      <alignment horizontal="right" vertical="top" wrapText="1"/>
    </xf>
    <xf numFmtId="44" fontId="10" fillId="0" borderId="0" xfId="0" applyNumberFormat="1" applyFont="1" applyAlignment="1">
      <alignment horizontal="left" vertical="top"/>
    </xf>
    <xf numFmtId="0" fontId="0" fillId="0" borderId="0" xfId="0" applyAlignment="1">
      <alignment horizontal="left" vertical="top"/>
    </xf>
    <xf numFmtId="44" fontId="8" fillId="0" borderId="0" xfId="4" applyNumberFormat="1" applyFill="1" applyBorder="1" applyAlignment="1">
      <alignment horizontal="left" vertical="top" wrapText="1"/>
    </xf>
    <xf numFmtId="168" fontId="0" fillId="0" borderId="1" xfId="0" applyNumberFormat="1" applyBorder="1"/>
    <xf numFmtId="0" fontId="12" fillId="0" borderId="0" xfId="7"/>
    <xf numFmtId="0" fontId="18" fillId="0" borderId="0" xfId="0" applyFont="1"/>
    <xf numFmtId="0" fontId="0" fillId="0" borderId="9" xfId="0" applyBorder="1"/>
    <xf numFmtId="0" fontId="2" fillId="0" borderId="1" xfId="0" applyFont="1" applyBorder="1" applyAlignment="1">
      <alignment horizontal="right"/>
    </xf>
    <xf numFmtId="1" fontId="0" fillId="0" borderId="1" xfId="0" applyNumberFormat="1" applyBorder="1"/>
    <xf numFmtId="0" fontId="13" fillId="0" borderId="0" xfId="0" applyFont="1"/>
    <xf numFmtId="0" fontId="14" fillId="0" borderId="0" xfId="0" applyFont="1"/>
    <xf numFmtId="165" fontId="14" fillId="0" borderId="0" xfId="1" applyFont="1" applyBorder="1" applyAlignment="1">
      <alignment horizontal="right"/>
    </xf>
    <xf numFmtId="165" fontId="15" fillId="0" borderId="0" xfId="3" applyFont="1" applyFill="1" applyBorder="1" applyAlignment="1">
      <alignment horizontal="left" vertical="top" wrapText="1"/>
    </xf>
    <xf numFmtId="0" fontId="0" fillId="0" borderId="2" xfId="0" applyBorder="1"/>
    <xf numFmtId="0" fontId="2" fillId="0" borderId="9" xfId="0" applyFont="1" applyBorder="1"/>
    <xf numFmtId="9" fontId="0" fillId="0" borderId="1" xfId="6" applyFont="1" applyBorder="1"/>
    <xf numFmtId="166" fontId="0" fillId="0" borderId="1" xfId="5" applyFont="1" applyBorder="1"/>
    <xf numFmtId="164" fontId="0" fillId="0" borderId="0" xfId="0" applyNumberFormat="1" applyAlignment="1">
      <alignment wrapText="1"/>
    </xf>
    <xf numFmtId="9" fontId="0" fillId="0" borderId="0" xfId="0" applyNumberFormat="1"/>
    <xf numFmtId="0" fontId="2" fillId="0" borderId="1" xfId="0" applyFont="1" applyBorder="1" applyAlignment="1">
      <alignment wrapText="1"/>
    </xf>
    <xf numFmtId="0" fontId="2" fillId="0" borderId="1" xfId="0" applyFont="1" applyBorder="1" applyAlignment="1">
      <alignment horizontal="center"/>
    </xf>
    <xf numFmtId="0" fontId="0" fillId="0" borderId="1" xfId="0" applyBorder="1" applyAlignment="1">
      <alignment horizontal="center"/>
    </xf>
    <xf numFmtId="0" fontId="0" fillId="0" borderId="16" xfId="0" applyBorder="1"/>
    <xf numFmtId="0" fontId="2" fillId="4" borderId="1" xfId="0" applyFont="1" applyFill="1" applyBorder="1"/>
    <xf numFmtId="0" fontId="0" fillId="4" borderId="1" xfId="0" applyFill="1" applyBorder="1"/>
    <xf numFmtId="165" fontId="0" fillId="4" borderId="1" xfId="1" applyFont="1" applyFill="1" applyBorder="1"/>
    <xf numFmtId="165" fontId="0" fillId="4" borderId="9" xfId="1" applyFont="1" applyFill="1" applyBorder="1"/>
    <xf numFmtId="165" fontId="0" fillId="4" borderId="9" xfId="0" applyNumberFormat="1" applyFill="1" applyBorder="1"/>
    <xf numFmtId="0" fontId="2" fillId="4" borderId="1" xfId="0" applyFont="1" applyFill="1" applyBorder="1" applyAlignment="1">
      <alignment horizontal="center" wrapText="1"/>
    </xf>
    <xf numFmtId="164" fontId="0" fillId="4" borderId="3" xfId="0" applyNumberFormat="1" applyFill="1" applyBorder="1"/>
    <xf numFmtId="164" fontId="0" fillId="4" borderId="1" xfId="0" applyNumberFormat="1" applyFill="1" applyBorder="1"/>
    <xf numFmtId="165" fontId="0" fillId="4" borderId="0" xfId="1" applyFont="1" applyFill="1"/>
    <xf numFmtId="165" fontId="0" fillId="4" borderId="1" xfId="0" applyNumberFormat="1" applyFill="1" applyBorder="1"/>
    <xf numFmtId="164" fontId="2" fillId="4" borderId="3" xfId="0" applyNumberFormat="1" applyFont="1" applyFill="1" applyBorder="1"/>
    <xf numFmtId="164" fontId="2" fillId="4" borderId="1" xfId="0" applyNumberFormat="1" applyFont="1" applyFill="1" applyBorder="1"/>
    <xf numFmtId="164" fontId="0" fillId="4" borderId="9" xfId="0" applyNumberFormat="1" applyFill="1" applyBorder="1"/>
    <xf numFmtId="165" fontId="9" fillId="4" borderId="1" xfId="1" applyFont="1" applyFill="1" applyBorder="1"/>
    <xf numFmtId="0" fontId="2" fillId="0" borderId="4" xfId="0" applyFont="1" applyBorder="1" applyAlignment="1">
      <alignment horizontal="center"/>
    </xf>
    <xf numFmtId="0" fontId="2" fillId="4" borderId="1" xfId="0" applyFont="1" applyFill="1" applyBorder="1" applyAlignment="1">
      <alignment horizontal="center"/>
    </xf>
    <xf numFmtId="164" fontId="2" fillId="4" borderId="1" xfId="1" applyNumberFormat="1" applyFont="1" applyFill="1" applyBorder="1" applyAlignment="1"/>
    <xf numFmtId="164" fontId="2" fillId="4" borderId="1" xfId="1" applyNumberFormat="1" applyFont="1" applyFill="1" applyBorder="1"/>
    <xf numFmtId="165" fontId="2" fillId="4" borderId="1" xfId="0" applyNumberFormat="1" applyFont="1" applyFill="1" applyBorder="1"/>
    <xf numFmtId="0" fontId="2" fillId="0" borderId="11" xfId="0" applyFont="1" applyBorder="1"/>
    <xf numFmtId="0" fontId="2" fillId="0" borderId="12" xfId="0" applyFont="1" applyBorder="1"/>
    <xf numFmtId="0" fontId="2" fillId="0" borderId="13" xfId="0" applyFont="1" applyBorder="1"/>
    <xf numFmtId="0" fontId="0" fillId="0" borderId="4" xfId="0" applyBorder="1"/>
    <xf numFmtId="165" fontId="0" fillId="0" borderId="4" xfId="1" applyFont="1" applyFill="1" applyBorder="1"/>
    <xf numFmtId="165" fontId="0" fillId="0" borderId="14" xfId="1" applyFont="1" applyFill="1" applyBorder="1"/>
    <xf numFmtId="165" fontId="2" fillId="0" borderId="2" xfId="0" applyNumberFormat="1" applyFont="1" applyBorder="1"/>
    <xf numFmtId="165" fontId="2" fillId="0" borderId="1" xfId="1" applyFont="1" applyFill="1" applyBorder="1"/>
    <xf numFmtId="164" fontId="0" fillId="4" borderId="6" xfId="0" applyNumberFormat="1" applyFill="1" applyBorder="1"/>
    <xf numFmtId="164" fontId="2" fillId="4" borderId="3" xfId="1" applyNumberFormat="1" applyFont="1" applyFill="1" applyBorder="1"/>
    <xf numFmtId="165" fontId="0" fillId="4" borderId="0" xfId="0" applyNumberFormat="1" applyFill="1"/>
    <xf numFmtId="165" fontId="2" fillId="4" borderId="3" xfId="1" applyFont="1" applyFill="1" applyBorder="1"/>
    <xf numFmtId="165" fontId="2" fillId="4" borderId="1" xfId="1" applyFont="1" applyFill="1" applyBorder="1"/>
    <xf numFmtId="1" fontId="0" fillId="0" borderId="0" xfId="0" applyNumberFormat="1"/>
    <xf numFmtId="164" fontId="0" fillId="0" borderId="1" xfId="1" applyNumberFormat="1" applyFont="1" applyBorder="1"/>
    <xf numFmtId="0" fontId="0" fillId="0" borderId="1" xfId="0" applyBorder="1" applyAlignment="1">
      <alignment wrapText="1"/>
    </xf>
    <xf numFmtId="44" fontId="0" fillId="0" borderId="0" xfId="0" applyNumberFormat="1"/>
    <xf numFmtId="0" fontId="2" fillId="0" borderId="1" xfId="0" applyFont="1" applyBorder="1" applyAlignment="1">
      <alignment horizontal="center" vertical="center"/>
    </xf>
    <xf numFmtId="44" fontId="0" fillId="0" borderId="1" xfId="0" applyNumberFormat="1" applyBorder="1"/>
    <xf numFmtId="44" fontId="2" fillId="0" borderId="1" xfId="0" applyNumberFormat="1" applyFont="1" applyBorder="1"/>
    <xf numFmtId="44" fontId="0" fillId="0" borderId="0" xfId="0" applyNumberFormat="1" applyAlignment="1">
      <alignment horizontal="left"/>
    </xf>
    <xf numFmtId="3" fontId="0" fillId="0" borderId="1" xfId="0" applyNumberFormat="1" applyBorder="1"/>
    <xf numFmtId="9" fontId="0" fillId="0" borderId="0" xfId="1" applyNumberFormat="1" applyFont="1"/>
    <xf numFmtId="9" fontId="2" fillId="0" borderId="1" xfId="1" applyNumberFormat="1" applyFont="1" applyBorder="1"/>
    <xf numFmtId="165" fontId="7" fillId="4" borderId="1" xfId="3" applyFont="1" applyFill="1" applyBorder="1" applyAlignment="1">
      <alignment horizontal="left" vertical="top" wrapText="1"/>
    </xf>
    <xf numFmtId="0" fontId="3" fillId="0" borderId="1" xfId="0" applyFont="1" applyBorder="1" applyAlignment="1">
      <alignment wrapText="1"/>
    </xf>
    <xf numFmtId="0" fontId="0" fillId="0" borderId="1" xfId="0" applyBorder="1" applyAlignment="1">
      <alignment horizontal="center" wrapText="1"/>
    </xf>
    <xf numFmtId="0" fontId="2" fillId="0" borderId="1" xfId="0" applyFont="1" applyBorder="1" applyAlignment="1">
      <alignment horizontal="left" vertical="center"/>
    </xf>
    <xf numFmtId="0" fontId="0" fillId="0" borderId="1" xfId="0" applyBorder="1" applyAlignment="1">
      <alignment horizontal="left" indent="1"/>
    </xf>
    <xf numFmtId="0" fontId="0" fillId="0" borderId="1" xfId="0" applyBorder="1" applyAlignment="1">
      <alignment horizontal="left" wrapText="1" indent="1"/>
    </xf>
    <xf numFmtId="0" fontId="2" fillId="0" borderId="0" xfId="0" applyFont="1" applyAlignment="1">
      <alignment horizontal="center"/>
    </xf>
    <xf numFmtId="165" fontId="0" fillId="0" borderId="1" xfId="0" applyNumberFormat="1" applyBorder="1" applyAlignment="1">
      <alignment horizontal="right"/>
    </xf>
    <xf numFmtId="164" fontId="0" fillId="0" borderId="1" xfId="1" applyNumberFormat="1" applyFont="1" applyBorder="1" applyAlignment="1">
      <alignment horizontal="right"/>
    </xf>
    <xf numFmtId="165" fontId="0" fillId="0" borderId="0" xfId="0" applyNumberFormat="1" applyAlignment="1">
      <alignment horizontal="right"/>
    </xf>
    <xf numFmtId="0" fontId="2" fillId="0" borderId="1" xfId="0" applyFont="1" applyBorder="1" applyAlignment="1">
      <alignment horizontal="left" indent="1"/>
    </xf>
    <xf numFmtId="0" fontId="20" fillId="0" borderId="1" xfId="0" applyFont="1" applyBorder="1" applyAlignment="1">
      <alignment horizontal="left" indent="1"/>
    </xf>
    <xf numFmtId="0" fontId="2" fillId="0" borderId="1" xfId="0" applyFont="1" applyBorder="1" applyAlignment="1">
      <alignment horizontal="center" wrapText="1"/>
    </xf>
    <xf numFmtId="164" fontId="21" fillId="0" borderId="1" xfId="0" applyNumberFormat="1" applyFont="1" applyBorder="1"/>
    <xf numFmtId="2" fontId="2" fillId="0" borderId="1" xfId="0" applyNumberFormat="1" applyFont="1" applyBorder="1"/>
    <xf numFmtId="0" fontId="2" fillId="0" borderId="4" xfId="0" applyFont="1" applyBorder="1"/>
    <xf numFmtId="0" fontId="2" fillId="0" borderId="4" xfId="0" applyFont="1" applyBorder="1" applyAlignment="1">
      <alignment horizontal="center" wrapText="1"/>
    </xf>
    <xf numFmtId="2" fontId="0" fillId="0" borderId="0" xfId="0" applyNumberFormat="1"/>
    <xf numFmtId="0" fontId="5" fillId="0" borderId="1" xfId="0" applyFont="1" applyBorder="1" applyAlignment="1">
      <alignment horizontal="center"/>
    </xf>
    <xf numFmtId="0" fontId="0" fillId="0" borderId="1" xfId="0" applyBorder="1" applyAlignment="1">
      <alignment horizontal="center"/>
    </xf>
    <xf numFmtId="0" fontId="2" fillId="0" borderId="6" xfId="0" applyFont="1" applyBorder="1" applyAlignment="1">
      <alignment wrapText="1"/>
    </xf>
    <xf numFmtId="0" fontId="0" fillId="0" borderId="5" xfId="0" applyBorder="1" applyAlignment="1">
      <alignment wrapText="1"/>
    </xf>
    <xf numFmtId="0" fontId="0" fillId="0" borderId="15" xfId="0" applyBorder="1" applyAlignment="1">
      <alignment wrapText="1"/>
    </xf>
    <xf numFmtId="0" fontId="2" fillId="0" borderId="9" xfId="0" applyFont="1" applyBorder="1" applyAlignment="1">
      <alignment wrapText="1"/>
    </xf>
    <xf numFmtId="0" fontId="0" fillId="0" borderId="10" xfId="0" applyBorder="1" applyAlignment="1">
      <alignment wrapText="1"/>
    </xf>
    <xf numFmtId="0" fontId="0" fillId="0" borderId="4" xfId="0" applyBorder="1" applyAlignment="1">
      <alignment wrapText="1"/>
    </xf>
    <xf numFmtId="0" fontId="2" fillId="0" borderId="5" xfId="0" applyFont="1" applyBorder="1"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2" xfId="0" applyFont="1" applyBorder="1" applyAlignment="1">
      <alignment horizontal="left"/>
    </xf>
    <xf numFmtId="0" fontId="2" fillId="0" borderId="8" xfId="0" applyFont="1" applyBorder="1" applyAlignment="1">
      <alignment horizontal="left"/>
    </xf>
    <xf numFmtId="0" fontId="2" fillId="0" borderId="3" xfId="0" applyFont="1" applyBorder="1" applyAlignment="1">
      <alignment horizontal="left"/>
    </xf>
    <xf numFmtId="0" fontId="0" fillId="0" borderId="1" xfId="0" applyBorder="1" applyAlignment="1">
      <alignment horizontal="left"/>
    </xf>
    <xf numFmtId="0" fontId="0" fillId="0" borderId="0" xfId="0" applyAlignment="1">
      <alignment horizontal="left" vertical="top" wrapText="1"/>
    </xf>
    <xf numFmtId="4" fontId="0" fillId="0" borderId="2" xfId="0" applyNumberFormat="1" applyBorder="1" applyAlignment="1">
      <alignment horizontal="right"/>
    </xf>
    <xf numFmtId="0" fontId="0" fillId="0" borderId="3" xfId="0" applyBorder="1" applyAlignment="1">
      <alignment horizontal="right"/>
    </xf>
    <xf numFmtId="0" fontId="2" fillId="0" borderId="2" xfId="0" applyFont="1" applyBorder="1" applyAlignment="1">
      <alignment horizontal="right"/>
    </xf>
    <xf numFmtId="0" fontId="2" fillId="0" borderId="8" xfId="0" applyFont="1" applyBorder="1" applyAlignment="1">
      <alignment horizontal="right"/>
    </xf>
    <xf numFmtId="0" fontId="2" fillId="0" borderId="3" xfId="0" applyFont="1" applyBorder="1" applyAlignment="1">
      <alignment horizontal="right"/>
    </xf>
    <xf numFmtId="0" fontId="2" fillId="0" borderId="1" xfId="0" applyFont="1" applyBorder="1" applyAlignment="1">
      <alignment horizontal="center"/>
    </xf>
    <xf numFmtId="0" fontId="2" fillId="0" borderId="9"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0" fontId="2" fillId="4" borderId="1" xfId="0" applyFont="1" applyFill="1" applyBorder="1" applyAlignment="1">
      <alignment horizontal="center" wrapText="1"/>
    </xf>
    <xf numFmtId="0" fontId="0" fillId="4" borderId="1" xfId="0" applyFill="1" applyBorder="1" applyAlignment="1">
      <alignment horizontal="center" wrapText="1"/>
    </xf>
    <xf numFmtId="0" fontId="0" fillId="0" borderId="4" xfId="0" applyBorder="1" applyAlignment="1">
      <alignment horizontal="center" wrapText="1"/>
    </xf>
    <xf numFmtId="0" fontId="2" fillId="4" borderId="2" xfId="0" applyFont="1" applyFill="1" applyBorder="1" applyAlignment="1">
      <alignment horizontal="center" wrapText="1"/>
    </xf>
    <xf numFmtId="0" fontId="0" fillId="4" borderId="3" xfId="0" applyFill="1" applyBorder="1" applyAlignment="1">
      <alignment horizontal="center" wrapText="1"/>
    </xf>
    <xf numFmtId="0" fontId="2" fillId="0" borderId="1" xfId="0" applyFont="1" applyBorder="1" applyAlignment="1"/>
    <xf numFmtId="0" fontId="0" fillId="0" borderId="1" xfId="0" applyBorder="1" applyAlignment="1"/>
    <xf numFmtId="0" fontId="2" fillId="0" borderId="9" xfId="0" applyFont="1" applyBorder="1" applyAlignment="1"/>
    <xf numFmtId="0" fontId="0" fillId="0" borderId="4" xfId="0" applyBorder="1" applyAlignment="1"/>
    <xf numFmtId="0" fontId="2" fillId="0" borderId="2" xfId="0" applyFont="1" applyBorder="1" applyAlignment="1"/>
    <xf numFmtId="0" fontId="0" fillId="0" borderId="3" xfId="0" applyBorder="1" applyAlignment="1"/>
    <xf numFmtId="4" fontId="0" fillId="0" borderId="2" xfId="0" applyNumberFormat="1" applyBorder="1" applyAlignment="1"/>
    <xf numFmtId="0" fontId="0" fillId="0" borderId="8" xfId="0" applyBorder="1" applyAlignment="1"/>
    <xf numFmtId="0" fontId="0" fillId="0" borderId="0" xfId="0" applyAlignment="1"/>
  </cellXfs>
  <cellStyles count="8">
    <cellStyle name="Bad 2" xfId="4" xr:uid="{1DF185FC-9927-4785-89DB-687714354B8E}"/>
    <cellStyle name="Comma" xfId="5" builtinId="3"/>
    <cellStyle name="Currency" xfId="1" builtinId="4"/>
    <cellStyle name="Currency 2" xfId="3" xr:uid="{C3982A34-A316-4E2D-B3AC-A31A1757EA30}"/>
    <cellStyle name="Hyperlink" xfId="7" builtinId="8"/>
    <cellStyle name="Normal" xfId="0" builtinId="0"/>
    <cellStyle name="Normal 2" xfId="2" xr:uid="{F8BEC552-9B47-4214-AB7B-79AC58BA7CDE}"/>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6</xdr:row>
      <xdr:rowOff>171450</xdr:rowOff>
    </xdr:from>
    <xdr:to>
      <xdr:col>8</xdr:col>
      <xdr:colOff>230984</xdr:colOff>
      <xdr:row>16</xdr:row>
      <xdr:rowOff>169545</xdr:rowOff>
    </xdr:to>
    <xdr:pic>
      <xdr:nvPicPr>
        <xdr:cNvPr id="2" name="Picture 1">
          <a:extLst>
            <a:ext uri="{FF2B5EF4-FFF2-40B4-BE49-F238E27FC236}">
              <a16:creationId xmlns:a16="http://schemas.microsoft.com/office/drawing/2014/main" id="{6269E64E-446C-4F4A-A878-86515546D6B2}"/>
            </a:ext>
          </a:extLst>
        </xdr:cNvPr>
        <xdr:cNvPicPr>
          <a:picLocks noChangeAspect="1"/>
        </xdr:cNvPicPr>
      </xdr:nvPicPr>
      <xdr:blipFill>
        <a:blip xmlns:r="http://schemas.openxmlformats.org/officeDocument/2006/relationships" r:embed="rId1"/>
        <a:stretch>
          <a:fillRect/>
        </a:stretch>
      </xdr:blipFill>
      <xdr:spPr>
        <a:xfrm>
          <a:off x="4181475" y="1257300"/>
          <a:ext cx="4145759" cy="1815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13</xdr:col>
      <xdr:colOff>189625</xdr:colOff>
      <xdr:row>11</xdr:row>
      <xdr:rowOff>1</xdr:rowOff>
    </xdr:to>
    <xdr:pic>
      <xdr:nvPicPr>
        <xdr:cNvPr id="2" name="Picture 1">
          <a:extLst>
            <a:ext uri="{FF2B5EF4-FFF2-40B4-BE49-F238E27FC236}">
              <a16:creationId xmlns:a16="http://schemas.microsoft.com/office/drawing/2014/main" id="{D9CE0397-FD69-4AE2-930B-382A0E81118D}"/>
            </a:ext>
          </a:extLst>
        </xdr:cNvPr>
        <xdr:cNvPicPr>
          <a:picLocks noChangeAspect="1"/>
        </xdr:cNvPicPr>
      </xdr:nvPicPr>
      <xdr:blipFill>
        <a:blip xmlns:r="http://schemas.openxmlformats.org/officeDocument/2006/relationships" r:embed="rId1"/>
        <a:stretch>
          <a:fillRect/>
        </a:stretch>
      </xdr:blipFill>
      <xdr:spPr>
        <a:xfrm>
          <a:off x="6438900" y="190500"/>
          <a:ext cx="6346586" cy="182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truckingresearch.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mfclearinghouse.org/"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38302-7379-43DD-9D6F-E51FC3731B71}">
  <sheetPr>
    <tabColor rgb="FFFFC000"/>
    <pageSetUpPr fitToPage="1"/>
  </sheetPr>
  <dimension ref="A2:G58"/>
  <sheetViews>
    <sheetView zoomScale="120" zoomScaleNormal="120" workbookViewId="0">
      <selection activeCell="B22" sqref="B22"/>
    </sheetView>
  </sheetViews>
  <sheetFormatPr defaultRowHeight="14.45"/>
  <cols>
    <col min="1" max="1" width="48.42578125" bestFit="1" customWidth="1"/>
    <col min="2" max="2" width="18.28515625" customWidth="1"/>
    <col min="3" max="3" width="18.42578125" customWidth="1"/>
    <col min="4" max="4" width="16.5703125" bestFit="1" customWidth="1"/>
    <col min="5" max="5" width="16" bestFit="1" customWidth="1"/>
    <col min="6" max="6" width="17.140625" customWidth="1"/>
    <col min="7" max="7" width="23.5703125" customWidth="1"/>
    <col min="8" max="8" width="4.140625" customWidth="1"/>
    <col min="9" max="9" width="1.5703125" customWidth="1"/>
    <col min="10" max="10" width="8" customWidth="1"/>
    <col min="11" max="13" width="12.7109375" bestFit="1" customWidth="1"/>
  </cols>
  <sheetData>
    <row r="2" spans="1:7">
      <c r="A2" s="126" t="s">
        <v>0</v>
      </c>
      <c r="B2" s="127"/>
      <c r="C2" s="127"/>
    </row>
    <row r="3" spans="1:7">
      <c r="A3" s="14" t="s">
        <v>1</v>
      </c>
      <c r="B3" s="8" t="s">
        <v>2</v>
      </c>
      <c r="C3" s="8" t="s">
        <v>3</v>
      </c>
    </row>
    <row r="4" spans="1:7">
      <c r="A4" s="9" t="s">
        <v>4</v>
      </c>
      <c r="B4" s="7" t="s">
        <v>5</v>
      </c>
      <c r="C4" s="7">
        <v>2023</v>
      </c>
    </row>
    <row r="5" spans="1:7">
      <c r="A5" s="9" t="s">
        <v>6</v>
      </c>
      <c r="B5" s="7" t="s">
        <v>5</v>
      </c>
      <c r="C5" s="7">
        <v>2026</v>
      </c>
    </row>
    <row r="6" spans="1:7">
      <c r="A6" s="9" t="s">
        <v>7</v>
      </c>
      <c r="B6" s="7" t="s">
        <v>8</v>
      </c>
      <c r="C6" s="7">
        <v>3</v>
      </c>
    </row>
    <row r="7" spans="1:7">
      <c r="A7" s="9" t="s">
        <v>9</v>
      </c>
      <c r="B7" s="7" t="s">
        <v>5</v>
      </c>
      <c r="C7" s="7">
        <v>2026</v>
      </c>
    </row>
    <row r="8" spans="1:7">
      <c r="A8" s="9" t="s">
        <v>10</v>
      </c>
      <c r="B8" s="7" t="s">
        <v>11</v>
      </c>
      <c r="C8" s="15">
        <v>168154092.59999999</v>
      </c>
      <c r="D8" s="3"/>
      <c r="E8" s="3"/>
    </row>
    <row r="9" spans="1:7">
      <c r="A9" s="9" t="s">
        <v>12</v>
      </c>
      <c r="B9" s="7" t="s">
        <v>11</v>
      </c>
      <c r="C9" s="15">
        <v>16892193</v>
      </c>
      <c r="D9" s="3"/>
      <c r="E9" s="13"/>
    </row>
    <row r="10" spans="1:7">
      <c r="A10" s="16" t="s">
        <v>13</v>
      </c>
      <c r="B10" s="7" t="s">
        <v>11</v>
      </c>
      <c r="C10" s="29">
        <v>185046285.59999999</v>
      </c>
      <c r="D10" s="5"/>
      <c r="E10" s="3"/>
    </row>
    <row r="11" spans="1:7">
      <c r="A11" s="9" t="s">
        <v>14</v>
      </c>
      <c r="B11" s="7" t="s">
        <v>11</v>
      </c>
      <c r="C11" s="15">
        <f>C8-(C8*0.1048)</f>
        <v>150531543.69551998</v>
      </c>
      <c r="D11" s="5"/>
      <c r="E11" s="3"/>
    </row>
    <row r="12" spans="1:7">
      <c r="A12" s="9" t="s">
        <v>15</v>
      </c>
      <c r="B12" s="7" t="s">
        <v>11</v>
      </c>
      <c r="C12" s="15">
        <f>C9-(C9*0.1048)</f>
        <v>15121891.173599999</v>
      </c>
      <c r="D12" s="5"/>
      <c r="E12" s="13"/>
    </row>
    <row r="13" spans="1:7">
      <c r="A13" s="16" t="s">
        <v>16</v>
      </c>
      <c r="B13" s="7" t="s">
        <v>11</v>
      </c>
      <c r="C13" s="15">
        <f>C11+C12</f>
        <v>165653434.86911997</v>
      </c>
      <c r="D13" s="5"/>
    </row>
    <row r="14" spans="1:7">
      <c r="A14" s="9" t="s">
        <v>17</v>
      </c>
      <c r="B14" s="7" t="s">
        <v>8</v>
      </c>
      <c r="C14" s="7">
        <v>30</v>
      </c>
      <c r="E14" s="13"/>
    </row>
    <row r="15" spans="1:7">
      <c r="A15" s="9" t="s">
        <v>17</v>
      </c>
      <c r="B15" s="7" t="s">
        <v>18</v>
      </c>
      <c r="C15" s="18" t="s">
        <v>19</v>
      </c>
      <c r="G15" s="13"/>
    </row>
    <row r="16" spans="1:7">
      <c r="A16" s="1" t="s">
        <v>20</v>
      </c>
      <c r="C16" s="4"/>
      <c r="F16" s="13"/>
      <c r="G16" s="13"/>
    </row>
    <row r="17" spans="1:7">
      <c r="C17" s="4"/>
      <c r="G17" s="20"/>
    </row>
    <row r="18" spans="1:7">
      <c r="C18" s="4"/>
      <c r="G18" s="20"/>
    </row>
    <row r="29" spans="1:7">
      <c r="C29" s="13"/>
      <c r="D29" s="13"/>
      <c r="E29" s="13"/>
      <c r="F29" s="13"/>
    </row>
    <row r="30" spans="1:7">
      <c r="C30" s="13"/>
      <c r="D30" s="13"/>
      <c r="E30" s="13"/>
      <c r="F30" s="13"/>
    </row>
    <row r="31" spans="1:7">
      <c r="A31" s="36"/>
      <c r="B31" s="37"/>
    </row>
    <row r="32" spans="1:7">
      <c r="A32" s="38"/>
      <c r="B32" s="39"/>
      <c r="D32" s="13"/>
    </row>
    <row r="33" spans="1:6">
      <c r="A33" s="40"/>
      <c r="B33" s="41"/>
      <c r="D33" s="13"/>
    </row>
    <row r="34" spans="1:6">
      <c r="A34" s="40"/>
      <c r="B34" s="39"/>
    </row>
    <row r="35" spans="1:6">
      <c r="A35" s="40"/>
      <c r="B35" s="39"/>
    </row>
    <row r="36" spans="1:6">
      <c r="A36" s="36"/>
      <c r="B36" s="42"/>
      <c r="C36" s="13"/>
      <c r="D36" s="13"/>
      <c r="E36" s="13"/>
      <c r="F36" s="13"/>
    </row>
    <row r="37" spans="1:6">
      <c r="A37" s="43"/>
      <c r="B37" s="43"/>
      <c r="C37" s="13"/>
      <c r="D37" s="13"/>
      <c r="E37" s="13"/>
      <c r="F37" s="13"/>
    </row>
    <row r="38" spans="1:6">
      <c r="A38" s="36"/>
      <c r="B38" s="43"/>
    </row>
    <row r="39" spans="1:6" ht="15.6">
      <c r="A39" s="40"/>
      <c r="B39" s="44"/>
    </row>
    <row r="40" spans="1:6" ht="15.6">
      <c r="A40" s="38"/>
      <c r="B40" s="44"/>
    </row>
    <row r="41" spans="1:6">
      <c r="A41" s="40"/>
      <c r="B41" s="35"/>
    </row>
    <row r="42" spans="1:6">
      <c r="A42" s="36"/>
      <c r="B42" s="42"/>
    </row>
    <row r="47" spans="1:6" ht="15.6">
      <c r="A47" s="51"/>
      <c r="B47" s="51"/>
      <c r="C47" s="51"/>
    </row>
    <row r="48" spans="1:6" ht="15.6">
      <c r="A48" s="52"/>
      <c r="B48" s="52"/>
      <c r="C48" s="52"/>
    </row>
    <row r="49" spans="1:3" ht="15.6">
      <c r="A49" s="52"/>
      <c r="B49" s="52"/>
      <c r="C49" s="52"/>
    </row>
    <row r="50" spans="1:3" ht="15.6">
      <c r="A50" s="52"/>
      <c r="B50" s="52"/>
      <c r="C50" s="52"/>
    </row>
    <row r="51" spans="1:3" ht="15.6">
      <c r="A51" s="52"/>
      <c r="B51" s="52"/>
      <c r="C51" s="52"/>
    </row>
    <row r="52" spans="1:3" ht="15.6" hidden="1">
      <c r="A52" s="52"/>
      <c r="B52" s="52"/>
      <c r="C52" s="53"/>
    </row>
    <row r="53" spans="1:3" ht="15.6" hidden="1">
      <c r="A53" s="52"/>
      <c r="B53" s="52"/>
      <c r="C53" s="53"/>
    </row>
    <row r="54" spans="1:3" ht="15.6" hidden="1">
      <c r="A54" s="52"/>
      <c r="B54" s="52"/>
      <c r="C54" s="54"/>
    </row>
    <row r="55" spans="1:3" ht="15.6">
      <c r="A55" s="52"/>
      <c r="B55" s="52"/>
      <c r="C55" s="53"/>
    </row>
    <row r="56" spans="1:3" ht="15.6">
      <c r="A56" s="52"/>
      <c r="B56" s="52"/>
      <c r="C56" s="53"/>
    </row>
    <row r="57" spans="1:3" ht="15.6">
      <c r="A57" s="52"/>
      <c r="B57" s="52"/>
      <c r="C57" s="53"/>
    </row>
    <row r="58" spans="1:3" ht="15.6">
      <c r="A58" s="52"/>
      <c r="B58" s="52"/>
      <c r="C58" s="52"/>
    </row>
  </sheetData>
  <mergeCells count="1">
    <mergeCell ref="A2:C2"/>
  </mergeCells>
  <pageMargins left="0.7" right="0.7" top="0.75" bottom="0.75" header="0.3" footer="0.3"/>
  <pageSetup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5DD7-0B7C-45D0-B3A8-FF8065DB2BB1}">
  <sheetPr>
    <tabColor rgb="FFFFC000"/>
  </sheetPr>
  <dimension ref="A1:X43"/>
  <sheetViews>
    <sheetView topLeftCell="D16" zoomScale="110" zoomScaleNormal="110" workbookViewId="0">
      <selection activeCell="L39" sqref="L39"/>
    </sheetView>
  </sheetViews>
  <sheetFormatPr defaultRowHeight="14.45"/>
  <cols>
    <col min="1" max="1" width="15.5703125" bestFit="1" customWidth="1"/>
    <col min="2" max="2" width="7.5703125" customWidth="1"/>
    <col min="3" max="3" width="16.7109375" bestFit="1" customWidth="1"/>
    <col min="4" max="4" width="18.42578125" customWidth="1"/>
    <col min="5" max="10" width="16.140625" customWidth="1"/>
    <col min="11" max="11" width="15.5703125" bestFit="1" customWidth="1"/>
    <col min="12" max="12" width="14.42578125" bestFit="1" customWidth="1"/>
    <col min="13" max="14" width="14.85546875" bestFit="1" customWidth="1"/>
    <col min="15" max="15" width="17.42578125" customWidth="1"/>
    <col min="16" max="16" width="15" bestFit="1" customWidth="1"/>
    <col min="17" max="17" width="17.140625" customWidth="1"/>
    <col min="18" max="18" width="14.85546875" customWidth="1"/>
    <col min="19" max="19" width="14.28515625" customWidth="1"/>
    <col min="20" max="20" width="17" customWidth="1"/>
    <col min="21" max="21" width="26.140625" bestFit="1" customWidth="1"/>
    <col min="22" max="22" width="10" bestFit="1" customWidth="1"/>
    <col min="23" max="23" width="11.7109375" bestFit="1" customWidth="1"/>
  </cols>
  <sheetData>
    <row r="1" spans="1:22">
      <c r="D1" s="3"/>
      <c r="R1" s="25"/>
      <c r="S1" s="25"/>
      <c r="T1" s="25"/>
      <c r="U1" s="25"/>
      <c r="V1" s="25"/>
    </row>
    <row r="2" spans="1:22" ht="15" customHeight="1">
      <c r="A2" s="148" t="s">
        <v>202</v>
      </c>
      <c r="B2" s="148" t="s">
        <v>203</v>
      </c>
      <c r="C2" s="152" t="s">
        <v>204</v>
      </c>
      <c r="D2" s="153"/>
      <c r="E2" s="155" t="s">
        <v>37</v>
      </c>
      <c r="F2" s="156"/>
      <c r="G2" s="152" t="s">
        <v>205</v>
      </c>
      <c r="H2" s="153"/>
      <c r="I2" s="152" t="s">
        <v>206</v>
      </c>
      <c r="J2" s="153"/>
      <c r="K2" s="152" t="s">
        <v>207</v>
      </c>
      <c r="L2" s="153"/>
      <c r="M2" s="152" t="s">
        <v>196</v>
      </c>
      <c r="N2" s="153"/>
      <c r="O2" s="152" t="s">
        <v>208</v>
      </c>
      <c r="P2" s="153" t="s">
        <v>209</v>
      </c>
      <c r="Q2" s="152" t="s">
        <v>210</v>
      </c>
      <c r="R2" s="153" t="s">
        <v>209</v>
      </c>
      <c r="S2" s="25"/>
      <c r="T2" s="25"/>
      <c r="U2" s="25"/>
      <c r="V2" s="25"/>
    </row>
    <row r="3" spans="1:22">
      <c r="A3" s="154"/>
      <c r="B3" s="154"/>
      <c r="C3" s="70" t="s">
        <v>66</v>
      </c>
      <c r="D3" s="70" t="s">
        <v>200</v>
      </c>
      <c r="E3" s="80" t="s">
        <v>66</v>
      </c>
      <c r="F3" s="70" t="s">
        <v>200</v>
      </c>
      <c r="G3" s="70" t="s">
        <v>66</v>
      </c>
      <c r="H3" s="70" t="s">
        <v>200</v>
      </c>
      <c r="I3" s="70" t="s">
        <v>66</v>
      </c>
      <c r="J3" s="70" t="s">
        <v>200</v>
      </c>
      <c r="K3" s="70" t="s">
        <v>66</v>
      </c>
      <c r="L3" s="70" t="s">
        <v>200</v>
      </c>
      <c r="M3" s="70" t="s">
        <v>66</v>
      </c>
      <c r="N3" s="70" t="s">
        <v>200</v>
      </c>
      <c r="O3" s="70" t="s">
        <v>66</v>
      </c>
      <c r="P3" s="70" t="s">
        <v>200</v>
      </c>
      <c r="Q3" s="70" t="s">
        <v>66</v>
      </c>
      <c r="R3" s="70" t="s">
        <v>200</v>
      </c>
      <c r="S3" s="26"/>
      <c r="T3" s="25"/>
      <c r="U3" s="25"/>
      <c r="V3" s="25"/>
    </row>
    <row r="4" spans="1:22">
      <c r="A4" s="7" t="s">
        <v>211</v>
      </c>
      <c r="B4" s="55">
        <v>1</v>
      </c>
      <c r="C4" s="72">
        <v>-32210390.11344</v>
      </c>
      <c r="D4" s="72">
        <f>C4</f>
        <v>-32210390.11344</v>
      </c>
      <c r="E4" s="72"/>
      <c r="F4" s="72"/>
      <c r="G4" s="71"/>
      <c r="H4" s="71"/>
      <c r="I4" s="71"/>
      <c r="J4" s="71"/>
      <c r="K4" s="71"/>
      <c r="L4" s="71"/>
      <c r="M4" s="71"/>
      <c r="N4" s="71"/>
      <c r="O4" s="71"/>
      <c r="P4" s="72"/>
      <c r="Q4" s="72"/>
      <c r="R4" s="108"/>
      <c r="S4" s="26"/>
      <c r="T4" s="25"/>
      <c r="U4" s="25"/>
      <c r="V4" s="25"/>
    </row>
    <row r="5" spans="1:22">
      <c r="A5" s="7">
        <v>2024</v>
      </c>
      <c r="B5" s="55">
        <v>2</v>
      </c>
      <c r="C5" s="72">
        <v>-55217811.623039998</v>
      </c>
      <c r="D5" s="72">
        <f>C5/(1+0.07)</f>
        <v>-51605431.423401862</v>
      </c>
      <c r="E5" s="72"/>
      <c r="F5" s="72"/>
      <c r="G5" s="71"/>
      <c r="H5" s="71"/>
      <c r="I5" s="71"/>
      <c r="J5" s="71"/>
      <c r="K5" s="71"/>
      <c r="L5" s="71"/>
      <c r="M5" s="71"/>
      <c r="N5" s="71"/>
      <c r="O5" s="71"/>
      <c r="P5" s="72"/>
      <c r="Q5" s="72"/>
      <c r="R5" s="74"/>
      <c r="S5" s="27"/>
      <c r="T5" s="25"/>
      <c r="U5" s="25"/>
      <c r="V5" s="25"/>
    </row>
    <row r="6" spans="1:22">
      <c r="A6" s="7">
        <v>2025</v>
      </c>
      <c r="B6" s="55">
        <v>3</v>
      </c>
      <c r="C6" s="72">
        <v>-55217811.623039998</v>
      </c>
      <c r="D6" s="72">
        <f>C6/(1+0.07)^2</f>
        <v>-48229375.162057817</v>
      </c>
      <c r="E6" s="72"/>
      <c r="F6" s="72"/>
      <c r="G6" s="71"/>
      <c r="H6" s="71"/>
      <c r="I6" s="71"/>
      <c r="J6" s="71"/>
      <c r="K6" s="71"/>
      <c r="L6" s="71"/>
      <c r="M6" s="71"/>
      <c r="N6" s="71"/>
      <c r="O6" s="71"/>
      <c r="P6" s="72"/>
      <c r="Q6" s="72"/>
      <c r="R6" s="74"/>
      <c r="S6" s="27"/>
      <c r="T6" s="25"/>
      <c r="U6" s="25"/>
      <c r="V6" s="25"/>
    </row>
    <row r="7" spans="1:22">
      <c r="A7" s="7" t="s">
        <v>212</v>
      </c>
      <c r="B7" s="55">
        <v>4</v>
      </c>
      <c r="C7" s="72">
        <v>-23007421.509599999</v>
      </c>
      <c r="D7" s="72">
        <f>C7/(1+0.07)^3</f>
        <v>-18780909.331019398</v>
      </c>
      <c r="E7" s="72"/>
      <c r="F7" s="72"/>
      <c r="G7" s="71"/>
      <c r="H7" s="71"/>
      <c r="I7" s="71"/>
      <c r="J7" s="71"/>
      <c r="K7" s="71"/>
      <c r="L7" s="71"/>
      <c r="M7" s="71"/>
      <c r="N7" s="71"/>
      <c r="O7" s="71"/>
      <c r="P7" s="72"/>
      <c r="Q7" s="74"/>
      <c r="R7" s="66"/>
      <c r="S7" s="25"/>
      <c r="T7" s="25"/>
      <c r="U7" s="25"/>
      <c r="V7" s="25"/>
    </row>
    <row r="8" spans="1:22">
      <c r="A8" s="7" t="s">
        <v>213</v>
      </c>
      <c r="B8" s="55">
        <v>4</v>
      </c>
      <c r="C8" s="72">
        <v>-21515.5</v>
      </c>
      <c r="D8" s="72">
        <f>C8/(1+0.07)^3</f>
        <v>-17563.056970245125</v>
      </c>
      <c r="E8" s="72">
        <f>5980680*0.583333333</f>
        <v>3488729.9980064402</v>
      </c>
      <c r="F8" s="72">
        <f>E8/(1+0.07)^3</f>
        <v>2847842.8904180834</v>
      </c>
      <c r="G8" s="71">
        <f>3062646*0.583333333</f>
        <v>1786543.498979118</v>
      </c>
      <c r="H8" s="71">
        <f>G8/(1+0.07)^3</f>
        <v>1458351.6651898078</v>
      </c>
      <c r="I8" s="71">
        <f>23055.6967420735*0.583333333</f>
        <v>13449.156425190977</v>
      </c>
      <c r="J8" s="71">
        <f>I8/(1+0.07)^3</f>
        <v>10978.517835856353</v>
      </c>
      <c r="K8" s="71">
        <v>12476.508333333331</v>
      </c>
      <c r="L8" s="72">
        <f>K8/(1+0.07)^3</f>
        <v>10184.54726351102</v>
      </c>
      <c r="M8" s="71"/>
      <c r="N8" s="71"/>
      <c r="O8" s="71">
        <f>5944864.89564*0.583333333</f>
        <v>3467837.8538083783</v>
      </c>
      <c r="P8" s="72">
        <f>O8/(1+0.07)^3</f>
        <v>2830788.6774655078</v>
      </c>
      <c r="Q8" s="67">
        <f>6520264.92*0.583333333</f>
        <v>3803487.8678265782</v>
      </c>
      <c r="R8" s="72">
        <f>Q8/(1+0.07)^3</f>
        <v>3104779.0712869489</v>
      </c>
      <c r="S8" s="25"/>
      <c r="T8" s="25"/>
      <c r="U8" s="25"/>
      <c r="V8" s="25"/>
    </row>
    <row r="9" spans="1:22">
      <c r="A9" s="7">
        <v>2027</v>
      </c>
      <c r="B9" s="55">
        <v>5</v>
      </c>
      <c r="C9" s="72">
        <v>-36883.72</v>
      </c>
      <c r="D9" s="72">
        <f>C9/(1+0.07)^4</f>
        <v>-28138.413390501548</v>
      </c>
      <c r="E9" s="72">
        <v>5980680</v>
      </c>
      <c r="F9" s="72">
        <f>E9/(1+0.07)^4</f>
        <v>4562632.1367883934</v>
      </c>
      <c r="G9" s="71">
        <v>3062646</v>
      </c>
      <c r="H9" s="71">
        <f>G9/(1+0.07)^4</f>
        <v>2336477.9695965047</v>
      </c>
      <c r="I9" s="71">
        <v>23055.696742073545</v>
      </c>
      <c r="J9" s="71">
        <f>I9/(1+0.07)^4</f>
        <v>17589.080654947633</v>
      </c>
      <c r="K9" s="71">
        <v>21768.2</v>
      </c>
      <c r="L9" s="72">
        <f>K9/(1+0.07)^4</f>
        <v>16606.85555489294</v>
      </c>
      <c r="M9" s="71"/>
      <c r="N9" s="71"/>
      <c r="O9" s="73">
        <v>5944864.8956399998</v>
      </c>
      <c r="P9" s="67">
        <f>O9/(1+0.07)^4</f>
        <v>4535308.9651531661</v>
      </c>
      <c r="Q9" s="67">
        <v>6520264.9199999999</v>
      </c>
      <c r="R9" s="67">
        <f>Q9/(1+0.07)^4</f>
        <v>4974278.8887494402</v>
      </c>
      <c r="S9" s="27"/>
      <c r="T9" s="25"/>
      <c r="U9" s="25"/>
      <c r="V9" s="25"/>
    </row>
    <row r="10" spans="1:22">
      <c r="A10" s="7">
        <v>2028</v>
      </c>
      <c r="B10" s="55">
        <v>6</v>
      </c>
      <c r="C10" s="72">
        <v>-36883.72</v>
      </c>
      <c r="D10" s="72">
        <f>C10/(1+0.07)^5</f>
        <v>-26297.582607945369</v>
      </c>
      <c r="E10" s="72">
        <v>5980680</v>
      </c>
      <c r="F10" s="72">
        <f>E10/(1+0.07)^5</f>
        <v>4264142.1839143857</v>
      </c>
      <c r="G10" s="71">
        <v>3062646</v>
      </c>
      <c r="H10" s="71">
        <f>G10/(1+0.07)^5</f>
        <v>2183624.2706509391</v>
      </c>
      <c r="I10" s="71">
        <v>23055.696742073545</v>
      </c>
      <c r="J10" s="71">
        <f>I10/(1+0.07)^5</f>
        <v>16438.393135465078</v>
      </c>
      <c r="K10" s="71">
        <v>22226</v>
      </c>
      <c r="L10" s="72">
        <f>K10/(1+0.07)^5</f>
        <v>15846.830825204013</v>
      </c>
      <c r="M10" s="71"/>
      <c r="N10" s="71"/>
      <c r="O10" s="73">
        <v>5944864.8956399998</v>
      </c>
      <c r="P10" s="67">
        <f>O10/(1+0.07)^5</f>
        <v>4238606.5094889402</v>
      </c>
      <c r="Q10" s="67">
        <v>6520264.9199999999</v>
      </c>
      <c r="R10" s="67">
        <f>Q10/(1+0.07)^5</f>
        <v>4648858.7745321868</v>
      </c>
      <c r="S10" s="25"/>
      <c r="T10" s="25"/>
      <c r="U10" s="25"/>
      <c r="V10" s="25"/>
    </row>
    <row r="11" spans="1:22">
      <c r="A11" s="7">
        <v>2029</v>
      </c>
      <c r="B11" s="55">
        <v>7</v>
      </c>
      <c r="C11" s="72">
        <v>-36883.72</v>
      </c>
      <c r="D11" s="72">
        <f>C11/(1+0.07)^6</f>
        <v>-24577.180007425581</v>
      </c>
      <c r="E11" s="72">
        <v>5980680</v>
      </c>
      <c r="F11" s="72">
        <f>E11/(1+0.07)^6</f>
        <v>3985179.6111349403</v>
      </c>
      <c r="G11" s="71">
        <v>3062646</v>
      </c>
      <c r="H11" s="71">
        <f>G11/(1+0.07)^6</f>
        <v>2040770.3464027469</v>
      </c>
      <c r="I11" s="71">
        <v>23055.696742073545</v>
      </c>
      <c r="J11" s="71">
        <f>I11/(1+0.07)^6</f>
        <v>15362.98423875241</v>
      </c>
      <c r="K11" s="71">
        <v>22609.9</v>
      </c>
      <c r="L11" s="72">
        <f>K11/(1+0.07)^6</f>
        <v>15065.931046268968</v>
      </c>
      <c r="M11" s="71"/>
      <c r="N11" s="71"/>
      <c r="O11" s="73">
        <v>5944864.8956399998</v>
      </c>
      <c r="P11" s="67">
        <f>O11/(1+0.07)^6</f>
        <v>3961314.494849477</v>
      </c>
      <c r="Q11" s="67">
        <v>6520264.9199999999</v>
      </c>
      <c r="R11" s="67">
        <f>Q11/(1+0.07)^6</f>
        <v>4344727.8266655952</v>
      </c>
      <c r="S11" s="25"/>
      <c r="T11" s="25"/>
      <c r="U11" s="25"/>
      <c r="V11" s="25"/>
    </row>
    <row r="12" spans="1:22">
      <c r="A12" s="7">
        <v>2030</v>
      </c>
      <c r="B12" s="55">
        <v>8</v>
      </c>
      <c r="C12" s="72">
        <v>-36883.72</v>
      </c>
      <c r="D12" s="72">
        <f>C12/(1+0.07)^7</f>
        <v>-22969.327109743532</v>
      </c>
      <c r="E12" s="72">
        <v>5980680</v>
      </c>
      <c r="F12" s="72">
        <f>E12/(1+0.07)^7</f>
        <v>3724466.9262943366</v>
      </c>
      <c r="G12" s="71">
        <v>3062646</v>
      </c>
      <c r="H12" s="71">
        <f>G12/(1+0.07)^7</f>
        <v>1907262.0059838754</v>
      </c>
      <c r="I12" s="71">
        <v>23055.696742073545</v>
      </c>
      <c r="J12" s="71">
        <f>I12/(1+0.07)^7</f>
        <v>14357.929195095709</v>
      </c>
      <c r="K12" s="71">
        <v>23083.8</v>
      </c>
      <c r="L12" s="72">
        <f>K12/(1+0.07)^7</f>
        <v>14375.430491715524</v>
      </c>
      <c r="M12" s="71"/>
      <c r="N12" s="71"/>
      <c r="O12" s="73">
        <v>5944864.8956399998</v>
      </c>
      <c r="P12" s="67">
        <f>O12/(1+0.07)^7</f>
        <v>3702163.0792985763</v>
      </c>
      <c r="Q12" s="67">
        <v>6520264.9199999999</v>
      </c>
      <c r="R12" s="67">
        <f>Q12/(1+0.07)^7</f>
        <v>4060493.2959491541</v>
      </c>
      <c r="S12" s="25"/>
      <c r="T12" s="25"/>
      <c r="U12" s="25"/>
      <c r="V12" s="25"/>
    </row>
    <row r="13" spans="1:22">
      <c r="A13" s="7">
        <v>2031</v>
      </c>
      <c r="B13" s="55">
        <v>9</v>
      </c>
      <c r="C13" s="72">
        <v>-36883.72</v>
      </c>
      <c r="D13" s="72">
        <f>C13/(1+0.07)^8</f>
        <v>-21466.660850227599</v>
      </c>
      <c r="E13" s="72">
        <v>5980680</v>
      </c>
      <c r="F13" s="72">
        <f>E13/(1+0.07)^8</f>
        <v>3480810.2114900341</v>
      </c>
      <c r="G13" s="71">
        <v>3062646</v>
      </c>
      <c r="H13" s="71">
        <f>G13/(1+0.07)^8</f>
        <v>1782487.8560596968</v>
      </c>
      <c r="I13" s="71">
        <v>23055.696742073545</v>
      </c>
      <c r="J13" s="71">
        <f>I13/(1+0.07)^8</f>
        <v>13418.625415977298</v>
      </c>
      <c r="K13" s="71">
        <v>23161.7</v>
      </c>
      <c r="L13" s="72">
        <f>K13/(1+0.07)^8</f>
        <v>13480.320277204051</v>
      </c>
      <c r="M13" s="71"/>
      <c r="N13" s="71"/>
      <c r="O13" s="73">
        <v>5944864.8956399998</v>
      </c>
      <c r="P13" s="67">
        <f>O13/(1+0.07)^8</f>
        <v>3459965.4946715669</v>
      </c>
      <c r="Q13" s="67">
        <v>6520264.9199999999</v>
      </c>
      <c r="R13" s="67">
        <f>Q13/(1+0.07)^8</f>
        <v>3794853.547616032</v>
      </c>
      <c r="S13" s="25"/>
      <c r="T13" s="25"/>
      <c r="U13" s="25"/>
      <c r="V13" s="25"/>
    </row>
    <row r="14" spans="1:22">
      <c r="A14" s="7">
        <v>2032</v>
      </c>
      <c r="B14" s="55">
        <v>10</v>
      </c>
      <c r="C14" s="72">
        <v>-36883.72</v>
      </c>
      <c r="D14" s="72">
        <f>C14/(1+0.07)^9</f>
        <v>-20062.299860025792</v>
      </c>
      <c r="E14" s="72">
        <v>5980680</v>
      </c>
      <c r="F14" s="72">
        <f>E14/(1+0.07)^9</f>
        <v>3253093.6555981622</v>
      </c>
      <c r="G14" s="71">
        <v>3062646</v>
      </c>
      <c r="H14" s="71">
        <f>G14/(1+0.07)^9</f>
        <v>1665876.5009903705</v>
      </c>
      <c r="I14" s="71">
        <v>23055.696742073545</v>
      </c>
      <c r="J14" s="71">
        <f>I14/(1+0.07)^9</f>
        <v>12540.771416801212</v>
      </c>
      <c r="K14" s="71">
        <v>23239.599999999999</v>
      </c>
      <c r="L14" s="72">
        <f>K14/(1+0.07)^9</f>
        <v>12640.802604158565</v>
      </c>
      <c r="M14" s="71"/>
      <c r="N14" s="71"/>
      <c r="O14" s="73">
        <v>5944864.8956399998</v>
      </c>
      <c r="P14" s="67">
        <f>O14/(1+0.07)^9</f>
        <v>3233612.6118425857</v>
      </c>
      <c r="Q14" s="67">
        <v>6520264.9199999999</v>
      </c>
      <c r="R14" s="67">
        <f>Q14/(1+0.07)^9</f>
        <v>3546592.1005757302</v>
      </c>
      <c r="S14" s="25"/>
      <c r="T14" s="25"/>
      <c r="U14" s="25"/>
      <c r="V14" s="25"/>
    </row>
    <row r="15" spans="1:22">
      <c r="A15" s="7">
        <v>2033</v>
      </c>
      <c r="B15" s="55">
        <v>11</v>
      </c>
      <c r="C15" s="72">
        <v>-36883.72</v>
      </c>
      <c r="D15" s="72">
        <f>C15/(1+0.07)^10</f>
        <v>-18749.812953295135</v>
      </c>
      <c r="E15" s="72">
        <v>5980680</v>
      </c>
      <c r="F15" s="72">
        <f>E15/(1+0.07)^10</f>
        <v>3040274.4444842641</v>
      </c>
      <c r="G15" s="71">
        <v>3062646</v>
      </c>
      <c r="H15" s="71">
        <f>G15/(1+0.07)^10</f>
        <v>1556893.9261592249</v>
      </c>
      <c r="I15" s="71">
        <v>23055.696742073545</v>
      </c>
      <c r="J15" s="71">
        <f>I15/(1+0.07)^10</f>
        <v>11720.347118505806</v>
      </c>
      <c r="K15" s="71">
        <v>23317.5</v>
      </c>
      <c r="L15" s="72">
        <f>K15/(1+0.07)^10</f>
        <v>11853.434619351283</v>
      </c>
      <c r="M15" s="71"/>
      <c r="N15" s="71"/>
      <c r="O15" s="73">
        <v>5944864.8956399998</v>
      </c>
      <c r="P15" s="67">
        <f>O15/(1+0.07)^10</f>
        <v>3022067.8615351268</v>
      </c>
      <c r="Q15" s="67">
        <v>6520264.9199999999</v>
      </c>
      <c r="R15" s="67">
        <f>Q15/(1+0.07)^10</f>
        <v>3314572.0566128325</v>
      </c>
      <c r="S15" s="25"/>
      <c r="T15" s="25"/>
      <c r="U15" s="25"/>
      <c r="V15" s="25"/>
    </row>
    <row r="16" spans="1:22">
      <c r="A16" s="7">
        <v>2034</v>
      </c>
      <c r="B16" s="55">
        <v>12</v>
      </c>
      <c r="C16" s="72">
        <v>-36883.72</v>
      </c>
      <c r="D16" s="72">
        <f>C16/(1+0.07)^11</f>
        <v>-17523.189675976759</v>
      </c>
      <c r="E16" s="72">
        <v>5980680</v>
      </c>
      <c r="F16" s="72">
        <f>E16/(1+0.07)^11</f>
        <v>2841377.9854993117</v>
      </c>
      <c r="G16" s="71">
        <v>3062646</v>
      </c>
      <c r="H16" s="71">
        <f>G16/(1+0.07)^11</f>
        <v>1455041.0524852567</v>
      </c>
      <c r="I16" s="71">
        <v>23055.696742073545</v>
      </c>
      <c r="J16" s="71">
        <f>I16/(1+0.07)^11</f>
        <v>10953.595437855893</v>
      </c>
      <c r="K16" s="71">
        <v>23395.4</v>
      </c>
      <c r="L16" s="72">
        <f>K16/(1+0.07)^11</f>
        <v>11114.986008606145</v>
      </c>
      <c r="M16" s="71"/>
      <c r="N16" s="71"/>
      <c r="O16" s="73">
        <v>5944864.8956399998</v>
      </c>
      <c r="P16" s="67">
        <f>O16/(1+0.07)^11</f>
        <v>2824362.4874160062</v>
      </c>
      <c r="Q16" s="67">
        <v>6520264.9199999999</v>
      </c>
      <c r="R16" s="67">
        <f>Q16/(1+0.07)^11</f>
        <v>3097730.8940306841</v>
      </c>
      <c r="S16" s="25"/>
      <c r="T16" s="25"/>
      <c r="U16" s="25"/>
      <c r="V16" s="25"/>
    </row>
    <row r="17" spans="1:22">
      <c r="A17" s="7">
        <v>2035</v>
      </c>
      <c r="B17" s="55">
        <v>13</v>
      </c>
      <c r="C17" s="72">
        <v>-36883.72</v>
      </c>
      <c r="D17" s="72">
        <f>C17/(1+0.07)^12</f>
        <v>-16376.812781286693</v>
      </c>
      <c r="E17" s="72">
        <v>5980680</v>
      </c>
      <c r="F17" s="72">
        <f>E17/(1+0.07)^12</f>
        <v>2655493.4443918807</v>
      </c>
      <c r="G17" s="71">
        <v>3062646</v>
      </c>
      <c r="H17" s="71">
        <f>G17/(1+0.07)^12</f>
        <v>1359851.4509208009</v>
      </c>
      <c r="I17" s="71">
        <v>23055.696742073545</v>
      </c>
      <c r="J17" s="71">
        <f>I17/(1+0.07)^12</f>
        <v>10237.005082108313</v>
      </c>
      <c r="K17" s="71">
        <v>23473.3</v>
      </c>
      <c r="L17" s="72">
        <f>K17/(1+0.07)^12</f>
        <v>10422.425922845552</v>
      </c>
      <c r="M17" s="71"/>
      <c r="N17" s="71"/>
      <c r="O17" s="73">
        <v>5944864.8956399998</v>
      </c>
      <c r="P17" s="67">
        <f>O17/(1+0.07)^12</f>
        <v>2639591.1097345855</v>
      </c>
      <c r="Q17" s="67">
        <v>6520264.9199999999</v>
      </c>
      <c r="R17" s="67">
        <f>Q17/(1+0.07)^12</f>
        <v>2895075.6018978362</v>
      </c>
      <c r="S17" s="25"/>
      <c r="T17" s="25"/>
      <c r="U17" s="25"/>
      <c r="V17" s="25"/>
    </row>
    <row r="18" spans="1:22">
      <c r="A18" s="7">
        <v>2036</v>
      </c>
      <c r="B18" s="55">
        <v>14</v>
      </c>
      <c r="C18" s="72">
        <v>-36883.72</v>
      </c>
      <c r="D18" s="72">
        <f>C18/(1+0.07)^13</f>
        <v>-15305.432505875413</v>
      </c>
      <c r="E18" s="72">
        <v>5980680</v>
      </c>
      <c r="F18" s="72">
        <f>E18/(1+0.07)^13</f>
        <v>2481769.5741980192</v>
      </c>
      <c r="G18" s="71">
        <v>3062646</v>
      </c>
      <c r="H18" s="71">
        <f>G18/(1+0.07)^13</f>
        <v>1270889.2064680383</v>
      </c>
      <c r="I18" s="71">
        <v>23055.696742073545</v>
      </c>
      <c r="J18" s="71">
        <f>I18/(1+0.07)^13</f>
        <v>9567.294469260105</v>
      </c>
      <c r="K18" s="71">
        <v>23629.1</v>
      </c>
      <c r="L18" s="72">
        <f>K18/(1+0.07)^13</f>
        <v>9805.236435603043</v>
      </c>
      <c r="M18" s="71"/>
      <c r="N18" s="71"/>
      <c r="O18" s="73">
        <v>5944864.8956399998</v>
      </c>
      <c r="P18" s="67">
        <f>O18/(1+0.07)^13</f>
        <v>2466907.5791912014</v>
      </c>
      <c r="Q18" s="67">
        <v>6520264.9199999999</v>
      </c>
      <c r="R18" s="67">
        <f>Q18/(1+0.07)^13</f>
        <v>2705678.1326147998</v>
      </c>
      <c r="S18" s="25"/>
      <c r="T18" s="25"/>
      <c r="U18" s="25"/>
      <c r="V18" s="25"/>
    </row>
    <row r="19" spans="1:22">
      <c r="A19" s="7">
        <v>2037</v>
      </c>
      <c r="B19" s="55">
        <v>15</v>
      </c>
      <c r="C19" s="72">
        <v>-36883.72</v>
      </c>
      <c r="D19" s="72">
        <f>C19/(1+0.07)^14</f>
        <v>-14304.142528855527</v>
      </c>
      <c r="E19" s="72">
        <v>5980680</v>
      </c>
      <c r="F19" s="72">
        <f>E19/(1+0.07)^14</f>
        <v>2319410.8170074946</v>
      </c>
      <c r="G19" s="71">
        <v>3062646</v>
      </c>
      <c r="H19" s="71">
        <f>G19/(1+0.07)^14</f>
        <v>1187746.921932746</v>
      </c>
      <c r="I19" s="71">
        <v>23055.696742073545</v>
      </c>
      <c r="J19" s="71">
        <f>I19/(1+0.07)^14</f>
        <v>8941.3967002430891</v>
      </c>
      <c r="K19" s="71">
        <v>23707</v>
      </c>
      <c r="L19" s="72">
        <f>K19/(1+0.07)^14</f>
        <v>9193.9833327977212</v>
      </c>
      <c r="M19" s="71"/>
      <c r="N19" s="71"/>
      <c r="O19" s="73">
        <v>5944864.8956399998</v>
      </c>
      <c r="P19" s="67">
        <f>O19/(1+0.07)^14</f>
        <v>2305521.1020478518</v>
      </c>
      <c r="Q19" s="67">
        <v>6520264.9199999999</v>
      </c>
      <c r="R19" s="67">
        <f>Q19/(1+0.07)^14</f>
        <v>2528671.1519764485</v>
      </c>
      <c r="S19" s="25"/>
      <c r="T19" s="25"/>
      <c r="U19" s="25"/>
      <c r="V19" s="25"/>
    </row>
    <row r="20" spans="1:22">
      <c r="A20" s="7">
        <v>2038</v>
      </c>
      <c r="B20" s="55">
        <v>16</v>
      </c>
      <c r="C20" s="72">
        <v>-36883.72</v>
      </c>
      <c r="D20" s="72">
        <f>C20/(1+0.07)^15</f>
        <v>-13368.357503603294</v>
      </c>
      <c r="E20" s="72">
        <v>5980680</v>
      </c>
      <c r="F20" s="72">
        <f>E20/(1+0.07)^15</f>
        <v>2167673.6607546676</v>
      </c>
      <c r="G20" s="71">
        <v>3062646</v>
      </c>
      <c r="H20" s="71">
        <f>G20/(1+0.07)^15</f>
        <v>1110043.8522735944</v>
      </c>
      <c r="I20" s="71">
        <v>23055.696742073545</v>
      </c>
      <c r="J20" s="71">
        <f>I20/(1+0.07)^15</f>
        <v>8356.4455142458755</v>
      </c>
      <c r="K20" s="71">
        <v>23784.9</v>
      </c>
      <c r="L20" s="72">
        <f>K20/(1+0.07)^15</f>
        <v>8620.7423325915606</v>
      </c>
      <c r="M20" s="71"/>
      <c r="N20" s="71"/>
      <c r="O20" s="73">
        <v>5944864.8956399998</v>
      </c>
      <c r="P20" s="67">
        <f>O20/(1+0.07)^15</f>
        <v>2154692.6187363099</v>
      </c>
      <c r="Q20" s="67">
        <v>6520264.9199999999</v>
      </c>
      <c r="R20" s="67">
        <f>Q20/(1+0.07)^15</f>
        <v>2363244.0672677085</v>
      </c>
      <c r="S20" s="26"/>
      <c r="T20" s="25"/>
      <c r="U20" s="25"/>
      <c r="V20" s="25"/>
    </row>
    <row r="21" spans="1:22">
      <c r="A21" s="7">
        <v>2039</v>
      </c>
      <c r="B21" s="55">
        <v>17</v>
      </c>
      <c r="C21" s="72">
        <v>-36883.72</v>
      </c>
      <c r="D21" s="72">
        <f>C21/(1+0.07)^16</f>
        <v>-12493.792059442334</v>
      </c>
      <c r="E21" s="72">
        <v>5980680</v>
      </c>
      <c r="F21" s="72">
        <f>E21/(1+0.07)^16</f>
        <v>2025863.234350157</v>
      </c>
      <c r="G21" s="71">
        <v>3062646</v>
      </c>
      <c r="H21" s="71">
        <f>G21/(1+0.07)^16</f>
        <v>1037424.1610033592</v>
      </c>
      <c r="I21" s="71">
        <v>23055.696742073545</v>
      </c>
      <c r="J21" s="71">
        <f>I21/(1+0.07)^16</f>
        <v>7809.762162846614</v>
      </c>
      <c r="K21" s="71">
        <v>23862.799999999999</v>
      </c>
      <c r="L21" s="72">
        <f>K21/(1+0.07)^16</f>
        <v>8083.1559603006554</v>
      </c>
      <c r="M21" s="71"/>
      <c r="N21" s="71"/>
      <c r="O21" s="73">
        <v>5944864.8956399998</v>
      </c>
      <c r="P21" s="67">
        <f>O21/(1+0.07)^16</f>
        <v>2013731.4193797291</v>
      </c>
      <c r="Q21" s="67">
        <v>6520264.9199999999</v>
      </c>
      <c r="R21" s="67">
        <f>Q21/(1+0.07)^16</f>
        <v>2208639.3152034665</v>
      </c>
      <c r="S21" s="26"/>
      <c r="T21" s="25"/>
      <c r="U21" s="25"/>
      <c r="V21" s="25"/>
    </row>
    <row r="22" spans="1:22">
      <c r="A22" s="7">
        <v>2040</v>
      </c>
      <c r="B22" s="55">
        <v>18</v>
      </c>
      <c r="C22" s="72">
        <v>-36883.72</v>
      </c>
      <c r="D22" s="72">
        <f>C22/(1+0.07)^17</f>
        <v>-11676.44117704891</v>
      </c>
      <c r="E22" s="72">
        <v>5980680</v>
      </c>
      <c r="F22" s="72">
        <f>E22/(1+0.07)^17</f>
        <v>1893330.1255608944</v>
      </c>
      <c r="G22" s="71">
        <v>3062646</v>
      </c>
      <c r="H22" s="71">
        <f>G22/(1+0.07)^17</f>
        <v>969555.29065734509</v>
      </c>
      <c r="I22" s="71">
        <v>23055.696742073545</v>
      </c>
      <c r="J22" s="71">
        <f>I22/(1+0.07)^17</f>
        <v>7298.8431428473032</v>
      </c>
      <c r="K22" s="71">
        <v>23940.7</v>
      </c>
      <c r="L22" s="72">
        <f>K22/(1+0.07)^17</f>
        <v>7579.0125097841219</v>
      </c>
      <c r="M22" s="71"/>
      <c r="N22" s="71"/>
      <c r="O22" s="73">
        <v>5944864.8956399998</v>
      </c>
      <c r="P22" s="67">
        <f>O22/(1+0.07)^17</f>
        <v>1881991.9807287187</v>
      </c>
      <c r="Q22" s="67">
        <v>6520264.9199999999</v>
      </c>
      <c r="R22" s="67">
        <f>Q22/(1+0.07)^17</f>
        <v>2064148.89271352</v>
      </c>
      <c r="S22" s="28"/>
      <c r="T22" s="25"/>
      <c r="U22" s="25"/>
      <c r="V22" s="25"/>
    </row>
    <row r="23" spans="1:22">
      <c r="A23" s="7">
        <v>2041</v>
      </c>
      <c r="B23" s="55">
        <v>19</v>
      </c>
      <c r="C23" s="72">
        <v>-36883.72</v>
      </c>
      <c r="D23" s="72">
        <f>C23/(1+0.07)^18</f>
        <v>-10912.561847709261</v>
      </c>
      <c r="E23" s="72">
        <v>5980680</v>
      </c>
      <c r="F23" s="72">
        <f>E23/(1+0.07)^18</f>
        <v>1769467.4070662563</v>
      </c>
      <c r="G23" s="71">
        <v>3062646</v>
      </c>
      <c r="H23" s="71">
        <f>G23/(1+0.07)^18</f>
        <v>906126.43986667763</v>
      </c>
      <c r="I23" s="71">
        <v>23055.696742073545</v>
      </c>
      <c r="J23" s="71">
        <f>I23/(1+0.07)^18</f>
        <v>6821.3487316329929</v>
      </c>
      <c r="K23" s="71">
        <v>24018.6</v>
      </c>
      <c r="L23" s="72">
        <f>K23/(1+0.07)^18</f>
        <v>7106.2370605619399</v>
      </c>
      <c r="M23" s="71"/>
      <c r="N23" s="71"/>
      <c r="O23" s="73">
        <v>5944864.8956399998</v>
      </c>
      <c r="P23" s="67">
        <f>O23/(1+0.07)^18</f>
        <v>1758871.01002684</v>
      </c>
      <c r="Q23" s="67">
        <v>6520264.9199999999</v>
      </c>
      <c r="R23" s="67">
        <f>Q23/(1+0.07)^18</f>
        <v>1929111.1146855326</v>
      </c>
      <c r="S23" s="28"/>
      <c r="T23" s="25"/>
      <c r="U23" s="25"/>
      <c r="V23" s="25"/>
    </row>
    <row r="24" spans="1:22">
      <c r="A24" s="7">
        <v>2042</v>
      </c>
      <c r="B24" s="55">
        <v>20</v>
      </c>
      <c r="C24" s="72">
        <v>-36883.72</v>
      </c>
      <c r="D24" s="72">
        <f>C24/(1+0.07)^19</f>
        <v>-10198.655932438562</v>
      </c>
      <c r="E24" s="72">
        <v>5980680</v>
      </c>
      <c r="F24" s="72">
        <f>E24/(1+0.07)^19</f>
        <v>1653707.8570712674</v>
      </c>
      <c r="G24" s="71">
        <v>3062646</v>
      </c>
      <c r="H24" s="71">
        <f>G24/(1+0.07)^19</f>
        <v>846847.14006231551</v>
      </c>
      <c r="I24" s="71">
        <v>23055.696742073545</v>
      </c>
      <c r="J24" s="71">
        <f>I24/(1+0.07)^19</f>
        <v>6375.0922725541986</v>
      </c>
      <c r="K24" s="71">
        <v>24096.5</v>
      </c>
      <c r="L24" s="72">
        <f>K24/(1+0.07)^19</f>
        <v>6662.8830463956938</v>
      </c>
      <c r="M24" s="71"/>
      <c r="N24" s="71"/>
      <c r="O24" s="73">
        <v>5944864.8956399998</v>
      </c>
      <c r="P24" s="67">
        <f>O24/(1+0.07)^19</f>
        <v>1643804.6822680747</v>
      </c>
      <c r="Q24" s="67">
        <v>6520264.9199999999</v>
      </c>
      <c r="R24" s="67">
        <f>Q24/(1+0.07)^19</f>
        <v>1802907.5838182548</v>
      </c>
      <c r="S24" s="28"/>
      <c r="T24" s="25"/>
      <c r="U24" s="25"/>
      <c r="V24" s="25"/>
    </row>
    <row r="25" spans="1:22">
      <c r="A25" s="7">
        <v>2043</v>
      </c>
      <c r="B25" s="55">
        <v>21</v>
      </c>
      <c r="C25" s="72">
        <v>-36883.72</v>
      </c>
      <c r="D25" s="72">
        <f>C25/(1+0.07)^20</f>
        <v>-9531.4541424659456</v>
      </c>
      <c r="E25" s="72">
        <v>5980680</v>
      </c>
      <c r="F25" s="72">
        <f>E25/(1+0.07)^20</f>
        <v>1545521.3617488483</v>
      </c>
      <c r="G25" s="71">
        <v>3062646</v>
      </c>
      <c r="H25" s="71">
        <f>G25/(1+0.07)^20</f>
        <v>791445.92529188376</v>
      </c>
      <c r="I25" s="71">
        <v>23055.696742073545</v>
      </c>
      <c r="J25" s="71">
        <f>I25/(1+0.07)^20</f>
        <v>5958.0301612656067</v>
      </c>
      <c r="K25" s="71">
        <v>24252.3</v>
      </c>
      <c r="L25" s="72">
        <f>K25/(1+0.07)^20</f>
        <v>6267.2551819427881</v>
      </c>
      <c r="M25" s="71"/>
      <c r="N25" s="71"/>
      <c r="O25" s="73">
        <v>5944864.8956399998</v>
      </c>
      <c r="P25" s="67">
        <f>O25/(1+0.07)^20</f>
        <v>1536266.0581944624</v>
      </c>
      <c r="Q25" s="67">
        <v>6520264.9199999999</v>
      </c>
      <c r="R25" s="67">
        <f>Q25/(1+0.07)^20</f>
        <v>1684960.3587086494</v>
      </c>
      <c r="S25" s="28"/>
      <c r="T25" s="25"/>
      <c r="U25" s="25"/>
      <c r="V25" s="25"/>
    </row>
    <row r="26" spans="1:22">
      <c r="A26" s="48">
        <v>2044</v>
      </c>
      <c r="B26" s="64">
        <v>22</v>
      </c>
      <c r="C26" s="77">
        <v>-36883.72</v>
      </c>
      <c r="D26" s="77">
        <f>C26/(1+0.07)^21</f>
        <v>-8907.9010677251827</v>
      </c>
      <c r="E26" s="72">
        <v>5980680</v>
      </c>
      <c r="F26" s="77">
        <f>E26/(1+0.07)^21</f>
        <v>1444412.487615746</v>
      </c>
      <c r="G26" s="92">
        <v>3062646</v>
      </c>
      <c r="H26" s="92">
        <f>G26/(1+0.07)^21</f>
        <v>739669.08905783517</v>
      </c>
      <c r="I26" s="92">
        <v>23055.696742073545</v>
      </c>
      <c r="J26" s="92">
        <f>I26/(1+0.07)^21</f>
        <v>5568.2524871641181</v>
      </c>
      <c r="K26" s="92">
        <v>24330.2</v>
      </c>
      <c r="L26" s="77">
        <f>K26/(1+0.07)^21</f>
        <v>5876.0617030485873</v>
      </c>
      <c r="M26" s="92"/>
      <c r="N26" s="92"/>
      <c r="O26" s="73">
        <v>5944864.8956399998</v>
      </c>
      <c r="P26" s="68">
        <f>O26/(1+0.07)^21</f>
        <v>1435762.6712097777</v>
      </c>
      <c r="Q26" s="67">
        <v>6520264.9199999999</v>
      </c>
      <c r="R26" s="67">
        <f>Q26/(1+0.07)^21</f>
        <v>1574729.307204345</v>
      </c>
      <c r="S26" s="28"/>
      <c r="T26" s="25"/>
      <c r="U26" s="25"/>
      <c r="V26" s="25"/>
    </row>
    <row r="27" spans="1:22">
      <c r="A27" s="7">
        <v>2045</v>
      </c>
      <c r="B27" s="7">
        <v>23</v>
      </c>
      <c r="C27" s="72">
        <v>-36883.72</v>
      </c>
      <c r="D27" s="72">
        <f>C27/(1+0.07)^22</f>
        <v>-8325.1411847898908</v>
      </c>
      <c r="E27" s="72">
        <v>5980680</v>
      </c>
      <c r="F27" s="72">
        <f>E27/(1+0.07)^22</f>
        <v>1349918.2127249963</v>
      </c>
      <c r="G27" s="72">
        <v>3062646</v>
      </c>
      <c r="H27" s="72">
        <f>G27/(1+0.07)^22</f>
        <v>691279.52248395816</v>
      </c>
      <c r="I27" s="72">
        <v>23055.696742073545</v>
      </c>
      <c r="J27" s="72">
        <f>I27/(1+0.07)^22</f>
        <v>5203.9742870692698</v>
      </c>
      <c r="K27" s="72">
        <v>24408.1</v>
      </c>
      <c r="L27" s="72">
        <f>K27/(1+0.07)^22</f>
        <v>5509.2295070147502</v>
      </c>
      <c r="M27" s="72"/>
      <c r="N27" s="72"/>
      <c r="O27" s="67">
        <v>5944864.8956399998</v>
      </c>
      <c r="P27" s="67">
        <f>O27/(1+0.07)^22</f>
        <v>1341834.2721586709</v>
      </c>
      <c r="Q27" s="67">
        <v>6520264.9199999999</v>
      </c>
      <c r="R27" s="67">
        <f>Q27/(1+0.07)^22</f>
        <v>1471709.6329012571</v>
      </c>
      <c r="S27" s="28"/>
      <c r="T27" s="25"/>
      <c r="U27" s="25"/>
      <c r="V27" s="25"/>
    </row>
    <row r="28" spans="1:22">
      <c r="A28" s="7">
        <v>2046</v>
      </c>
      <c r="B28" s="7">
        <v>24</v>
      </c>
      <c r="C28" s="72">
        <v>-36883.72</v>
      </c>
      <c r="D28" s="72">
        <f>C28/(1+0.07)^23</f>
        <v>-7780.5057801774674</v>
      </c>
      <c r="E28" s="72">
        <v>5980680</v>
      </c>
      <c r="F28" s="72">
        <f>E28/(1+0.07)^23</f>
        <v>1261605.8062850432</v>
      </c>
      <c r="G28" s="72">
        <v>3062646</v>
      </c>
      <c r="H28" s="72">
        <f>G28/(1+0.07)^23</f>
        <v>646055.62848968047</v>
      </c>
      <c r="I28" s="72">
        <v>23055.696742073545</v>
      </c>
      <c r="J28" s="72">
        <f>I28/(1+0.07)^23</f>
        <v>4863.527371092775</v>
      </c>
      <c r="K28" s="72">
        <v>24486</v>
      </c>
      <c r="L28" s="72">
        <f>K28/(1+0.07)^23</f>
        <v>5165.2453855908634</v>
      </c>
      <c r="M28" s="72"/>
      <c r="N28" s="72"/>
      <c r="O28" s="67">
        <v>5944864.8956399998</v>
      </c>
      <c r="P28" s="67">
        <f>O28/(1+0.07)^23</f>
        <v>1254050.7216436176</v>
      </c>
      <c r="Q28" s="67">
        <v>6520264.9199999999</v>
      </c>
      <c r="R28" s="67">
        <f>Q28/(1+0.07)^23</f>
        <v>1375429.5634591188</v>
      </c>
      <c r="S28" s="27"/>
      <c r="T28" s="25"/>
      <c r="U28" s="25"/>
      <c r="V28" s="25"/>
    </row>
    <row r="29" spans="1:22">
      <c r="A29" s="7">
        <v>2047</v>
      </c>
      <c r="B29" s="7">
        <v>25</v>
      </c>
      <c r="C29" s="72">
        <v>-36883.72</v>
      </c>
      <c r="D29" s="72">
        <f>C29/(1+0.07)^24</f>
        <v>-7271.5007291378197</v>
      </c>
      <c r="E29" s="72">
        <v>5980680</v>
      </c>
      <c r="F29" s="72">
        <f>E29/(1+0.07)^24</f>
        <v>1179070.8469953674</v>
      </c>
      <c r="G29" s="72">
        <v>3062646</v>
      </c>
      <c r="H29" s="72">
        <f>G29/(1+0.07)^24</f>
        <v>603790.30699970142</v>
      </c>
      <c r="I29" s="72">
        <v>23055.696742073545</v>
      </c>
      <c r="J29" s="72">
        <f>I29/(1+0.07)^24</f>
        <v>4545.3526832642756</v>
      </c>
      <c r="K29" s="72">
        <v>24563.9</v>
      </c>
      <c r="L29" s="72">
        <f>K29/(1+0.07)^24</f>
        <v>4842.6898577602387</v>
      </c>
      <c r="M29" s="72"/>
      <c r="N29" s="72"/>
      <c r="O29" s="67">
        <v>5944864.8956399998</v>
      </c>
      <c r="P29" s="67">
        <f>O29/(1+0.07)^24</f>
        <v>1172010.02022768</v>
      </c>
      <c r="Q29" s="67">
        <v>6520264.9199999999</v>
      </c>
      <c r="R29" s="67">
        <f>Q29/(1+0.07)^24</f>
        <v>1285448.1901487091</v>
      </c>
      <c r="S29" s="27"/>
      <c r="T29" s="25"/>
      <c r="U29" s="25"/>
      <c r="V29" s="25"/>
    </row>
    <row r="30" spans="1:22">
      <c r="A30" s="7">
        <v>2048</v>
      </c>
      <c r="B30" s="7">
        <v>26</v>
      </c>
      <c r="C30" s="72">
        <v>-36883.72</v>
      </c>
      <c r="D30" s="72">
        <f>C30/(1+0.07)^25</f>
        <v>-6795.7950739605785</v>
      </c>
      <c r="E30" s="72">
        <v>5980680</v>
      </c>
      <c r="F30" s="72">
        <f>E30/(1+0.07)^25</f>
        <v>1101935.3710237078</v>
      </c>
      <c r="G30" s="72">
        <v>3062646</v>
      </c>
      <c r="H30" s="72">
        <f>G30/(1+0.07)^25</f>
        <v>564290.00654177694</v>
      </c>
      <c r="I30" s="72">
        <v>23055.696742073545</v>
      </c>
      <c r="J30" s="72">
        <f>I30/(1+0.07)^25</f>
        <v>4247.9931619292292</v>
      </c>
      <c r="K30" s="72">
        <v>24641.8</v>
      </c>
      <c r="L30" s="72">
        <f>K30/(1+0.07)^25</f>
        <v>4540.2313826675227</v>
      </c>
      <c r="M30" s="72"/>
      <c r="N30" s="72"/>
      <c r="O30" s="67">
        <v>5944864.8956399998</v>
      </c>
      <c r="P30" s="67">
        <f>O30/(1+0.07)^25</f>
        <v>1095336.4675025046</v>
      </c>
      <c r="Q30" s="67">
        <v>6520264.9199999999</v>
      </c>
      <c r="R30" s="67">
        <f>Q30/(1+0.07)^25</f>
        <v>1201353.4487371112</v>
      </c>
      <c r="S30" s="27"/>
      <c r="T30" s="25"/>
      <c r="U30" s="25"/>
      <c r="V30" s="25"/>
    </row>
    <row r="31" spans="1:22">
      <c r="A31" s="7">
        <v>2049</v>
      </c>
      <c r="B31" s="7">
        <v>27</v>
      </c>
      <c r="C31" s="72">
        <v>-36883.72</v>
      </c>
      <c r="D31" s="72">
        <f>C31/(1+0.07)^26</f>
        <v>-6351.2103494958683</v>
      </c>
      <c r="E31" s="72">
        <v>5980680</v>
      </c>
      <c r="F31" s="72">
        <f>E31/(1+0.07)^26</f>
        <v>1029846.1411436523</v>
      </c>
      <c r="G31" s="72">
        <v>3062646</v>
      </c>
      <c r="H31" s="72">
        <f>G31/(1+0.07)^26</f>
        <v>527373.83788951125</v>
      </c>
      <c r="I31" s="72">
        <v>23055.696742073545</v>
      </c>
      <c r="J31" s="72">
        <f>I31/(1+0.07)^26</f>
        <v>3970.0870672235792</v>
      </c>
      <c r="K31" s="72">
        <v>24719.7</v>
      </c>
      <c r="L31" s="72">
        <f>K31/(1+0.07)^26</f>
        <v>4256.6209285948653</v>
      </c>
      <c r="M31" s="72"/>
      <c r="N31" s="72"/>
      <c r="O31" s="67">
        <v>5944864.8956399998</v>
      </c>
      <c r="P31" s="67">
        <f>O31/(1+0.07)^26</f>
        <v>1023678.9415911259</v>
      </c>
      <c r="Q31" s="67">
        <v>6520264.9199999999</v>
      </c>
      <c r="R31" s="67">
        <f>Q31/(1+0.07)^26</f>
        <v>1122760.2324645901</v>
      </c>
      <c r="S31" s="27"/>
      <c r="T31" s="25"/>
      <c r="U31" s="25"/>
      <c r="V31" s="25"/>
    </row>
    <row r="32" spans="1:22">
      <c r="A32" s="7">
        <v>2050</v>
      </c>
      <c r="B32" s="7">
        <v>28</v>
      </c>
      <c r="C32" s="72">
        <v>-36883.72</v>
      </c>
      <c r="D32" s="72">
        <f>C32/(1+0.07)^27</f>
        <v>-5935.7106070054833</v>
      </c>
      <c r="E32" s="72">
        <v>5980680</v>
      </c>
      <c r="F32" s="72">
        <f>E32/(1+0.07)^27</f>
        <v>962473.02910621685</v>
      </c>
      <c r="G32" s="72">
        <v>3062646</v>
      </c>
      <c r="H32" s="72">
        <f>G32/(1+0.07)^27</f>
        <v>492872.74569113186</v>
      </c>
      <c r="I32" s="72">
        <v>23055.696742073545</v>
      </c>
      <c r="J32" s="72">
        <f>I32/(1+0.07)^27</f>
        <v>3710.3617450687648</v>
      </c>
      <c r="K32" s="72">
        <v>24875.5</v>
      </c>
      <c r="L32" s="72">
        <f>K32/(1+0.07)^27</f>
        <v>4003.223351781352</v>
      </c>
      <c r="M32" s="72"/>
      <c r="N32" s="72"/>
      <c r="O32" s="67">
        <v>5944864.8956399998</v>
      </c>
      <c r="P32" s="67">
        <f>O32/(1+0.07)^27</f>
        <v>956709.29120665952</v>
      </c>
      <c r="Q32" s="67">
        <v>6520264.9199999999</v>
      </c>
      <c r="R32" s="67">
        <f>Q32/(1+0.07)^27</f>
        <v>1049308.6284715792</v>
      </c>
      <c r="S32" s="27"/>
      <c r="T32" s="25"/>
      <c r="U32" s="25"/>
      <c r="V32" s="25"/>
    </row>
    <row r="33" spans="1:24">
      <c r="A33" s="7">
        <v>2051</v>
      </c>
      <c r="B33" s="7">
        <v>29</v>
      </c>
      <c r="C33" s="72">
        <v>-36883.72</v>
      </c>
      <c r="D33" s="72">
        <f>C33/(1+0.07)^28</f>
        <v>-5547.3930906593314</v>
      </c>
      <c r="E33" s="72">
        <v>5980680</v>
      </c>
      <c r="F33" s="72">
        <f>E33/(1+0.07)^28</f>
        <v>899507.50383758603</v>
      </c>
      <c r="G33" s="72">
        <v>3062646</v>
      </c>
      <c r="H33" s="72">
        <f>G33/(1+0.07)^28</f>
        <v>460628.73429077753</v>
      </c>
      <c r="I33" s="72">
        <v>23055.696742073545</v>
      </c>
      <c r="J33" s="72">
        <f>I33/(1+0.07)^28</f>
        <v>3467.6277991296874</v>
      </c>
      <c r="K33" s="72">
        <v>24875.5</v>
      </c>
      <c r="L33" s="72">
        <f>K33/(1+0.07)^28</f>
        <v>3741.3302353096756</v>
      </c>
      <c r="M33" s="72"/>
      <c r="N33" s="72"/>
      <c r="O33" s="67">
        <v>5944864.8956399998</v>
      </c>
      <c r="P33" s="67">
        <f>O33/(1+0.07)^28</f>
        <v>894120.8329034202</v>
      </c>
      <c r="Q33" s="67">
        <v>6520264.9199999999</v>
      </c>
      <c r="R33" s="67">
        <f>Q33/(1+0.07)^28</f>
        <v>980662.26959960698</v>
      </c>
      <c r="S33" s="27"/>
      <c r="T33" s="25"/>
      <c r="U33" s="25"/>
      <c r="V33" s="25"/>
    </row>
    <row r="34" spans="1:24">
      <c r="A34" s="7">
        <v>2052</v>
      </c>
      <c r="B34" s="7">
        <v>30</v>
      </c>
      <c r="C34" s="72">
        <v>-36883.72</v>
      </c>
      <c r="D34" s="72">
        <f>C34/(1+0.07)^29</f>
        <v>-5184.4795239806836</v>
      </c>
      <c r="E34" s="72">
        <v>5980680</v>
      </c>
      <c r="F34" s="72">
        <f>E34/(1+0.07)^29</f>
        <v>840661.21853980003</v>
      </c>
      <c r="G34" s="72">
        <v>3062646</v>
      </c>
      <c r="H34" s="72">
        <f>G34/(1+0.07)^29</f>
        <v>430494.14419698832</v>
      </c>
      <c r="I34" s="72">
        <v>23055.696742073545</v>
      </c>
      <c r="J34" s="72">
        <f>I34/(1+0.07)^29</f>
        <v>3240.7736440464369</v>
      </c>
      <c r="K34" s="72">
        <v>24875.5</v>
      </c>
      <c r="L34" s="72">
        <f>K34/(1+0.07)^29</f>
        <v>3496.5703133735283</v>
      </c>
      <c r="M34" s="72"/>
      <c r="N34" s="72"/>
      <c r="O34" s="67">
        <v>5944864.8956399998</v>
      </c>
      <c r="P34" s="67">
        <f>O34/(1+0.07)^29</f>
        <v>835626.94663871045</v>
      </c>
      <c r="Q34" s="67">
        <v>6520264.9199999999</v>
      </c>
      <c r="R34" s="67">
        <f>Q34/(1+0.07)^29</f>
        <v>916506.79401832423</v>
      </c>
      <c r="S34" s="27"/>
      <c r="T34" s="25"/>
      <c r="U34" s="25"/>
      <c r="V34" s="25"/>
    </row>
    <row r="35" spans="1:24">
      <c r="A35" s="7">
        <v>2053</v>
      </c>
      <c r="B35" s="7">
        <v>31</v>
      </c>
      <c r="C35" s="72">
        <v>-36883.72</v>
      </c>
      <c r="D35" s="72">
        <f>C35/(1+0.07)^30</f>
        <v>-4845.3079663370872</v>
      </c>
      <c r="E35" s="72">
        <v>5980680</v>
      </c>
      <c r="F35" s="72">
        <f>E35/(1+0.07)^30</f>
        <v>785664.69022411213</v>
      </c>
      <c r="G35" s="72">
        <v>3062646</v>
      </c>
      <c r="H35" s="72">
        <f>G35/(1+0.07)^30</f>
        <v>402330.97588503588</v>
      </c>
      <c r="I35" s="72">
        <v>23055.696742073545</v>
      </c>
      <c r="J35" s="72">
        <f>I35/(1+0.07)^30</f>
        <v>3028.7604149966701</v>
      </c>
      <c r="K35" s="72">
        <v>24875.5</v>
      </c>
      <c r="L35" s="72">
        <f>K35/(1+0.07)^30</f>
        <v>3267.8227227789989</v>
      </c>
      <c r="M35" s="72"/>
      <c r="N35" s="72"/>
      <c r="O35" s="67">
        <v>5944864.8956399998</v>
      </c>
      <c r="P35" s="67">
        <f>O35/(1+0.07)^30</f>
        <v>780959.76321374811</v>
      </c>
      <c r="Q35" s="67">
        <v>6520264.9199999999</v>
      </c>
      <c r="R35" s="67">
        <f>Q35/(1+0.07)^30</f>
        <v>856548.40562460211</v>
      </c>
      <c r="S35" s="27"/>
      <c r="T35" s="25"/>
      <c r="U35" s="25"/>
      <c r="V35" s="25"/>
    </row>
    <row r="36" spans="1:24">
      <c r="A36" s="7">
        <v>2054</v>
      </c>
      <c r="B36" s="7">
        <v>32</v>
      </c>
      <c r="C36" s="72">
        <v>-36883.72</v>
      </c>
      <c r="D36" s="72">
        <f>C36/(1+0.07)^31</f>
        <v>-4528.3252021841927</v>
      </c>
      <c r="E36" s="72">
        <v>5980680</v>
      </c>
      <c r="F36" s="72">
        <f>E36/(1+0.07)^31</f>
        <v>734266.06563001126</v>
      </c>
      <c r="G36" s="72">
        <v>3062646</v>
      </c>
      <c r="H36" s="72">
        <f>G36/(1+0.07)^31</f>
        <v>376010.25783648202</v>
      </c>
      <c r="I36" s="72">
        <v>23055.696742073545</v>
      </c>
      <c r="J36" s="72">
        <f>I36/(1+0.07)^31</f>
        <v>2830.6172102772612</v>
      </c>
      <c r="K36" s="72">
        <v>24875.5</v>
      </c>
      <c r="L36" s="72">
        <f>K36/(1+0.07)^31</f>
        <v>3054.0399278308396</v>
      </c>
      <c r="M36" s="72"/>
      <c r="N36" s="72"/>
      <c r="O36" s="67">
        <v>5944864.8956399998</v>
      </c>
      <c r="P36" s="67">
        <f>O36/(1+0.07)^31</f>
        <v>729868.93758294208</v>
      </c>
      <c r="Q36" s="67">
        <v>6520264.9199999999</v>
      </c>
      <c r="R36" s="67">
        <f>Q36/(1+0.07)^31</f>
        <v>800512.52862112329</v>
      </c>
      <c r="S36" s="27"/>
      <c r="T36" s="25"/>
      <c r="U36" s="25"/>
      <c r="V36" s="25"/>
    </row>
    <row r="37" spans="1:24">
      <c r="A37" s="7">
        <v>2055</v>
      </c>
      <c r="B37" s="7">
        <v>33</v>
      </c>
      <c r="C37" s="72">
        <v>-36883.72</v>
      </c>
      <c r="D37" s="72">
        <f>C37/(1+0.07)^32</f>
        <v>-4232.0796282095262</v>
      </c>
      <c r="E37" s="72">
        <v>5980680</v>
      </c>
      <c r="F37" s="72">
        <f>E37/(1+0.07)^32</f>
        <v>686229.96787851525</v>
      </c>
      <c r="G37" s="72">
        <v>3062646</v>
      </c>
      <c r="H37" s="72">
        <f>G37/(1+0.07)^32</f>
        <v>351411.45592194586</v>
      </c>
      <c r="I37" s="72">
        <v>23055.696742073545</v>
      </c>
      <c r="J37" s="72">
        <f>I37/(1+0.07)^32</f>
        <v>2645.4366451189358</v>
      </c>
      <c r="K37" s="72">
        <v>24875.5</v>
      </c>
      <c r="L37" s="72">
        <f>K37/(1+0.07)^32</f>
        <v>2854.2429232063923</v>
      </c>
      <c r="M37" s="72"/>
      <c r="N37" s="72"/>
      <c r="O37" s="67">
        <v>5944864.8956399998</v>
      </c>
      <c r="P37" s="67">
        <f>O37/(1+0.07)^32</f>
        <v>682120.5024139646</v>
      </c>
      <c r="Q37" s="67">
        <v>6520264.9199999999</v>
      </c>
      <c r="R37" s="67">
        <f>Q37/(1+0.07)^32</f>
        <v>748142.55011319951</v>
      </c>
      <c r="S37" s="27"/>
      <c r="T37" s="25"/>
      <c r="U37" s="25"/>
      <c r="V37" s="25"/>
    </row>
    <row r="38" spans="1:24">
      <c r="A38" s="7" t="s">
        <v>186</v>
      </c>
      <c r="B38" s="7">
        <v>34</v>
      </c>
      <c r="C38" s="72">
        <v>-15368.22</v>
      </c>
      <c r="D38" s="72">
        <f>C38/(1+0.07)^33</f>
        <v>-1648.0064432003692</v>
      </c>
      <c r="E38" s="72">
        <f>5980680*0.416666667</f>
        <v>2491950.0019935598</v>
      </c>
      <c r="F38" s="72">
        <f>E38/(1+0.07)^33</f>
        <v>267223.50795463362</v>
      </c>
      <c r="G38" s="72">
        <f>3062646*0.416666667</f>
        <v>1276102.501020882</v>
      </c>
      <c r="H38" s="72">
        <f>G38/(1+0.07)^33</f>
        <v>136842.46736879868</v>
      </c>
      <c r="I38" s="72">
        <f>23055.6967420735*0.416666667</f>
        <v>9606.5403168825251</v>
      </c>
      <c r="J38" s="72">
        <f>I38/(1+0.07)^33</f>
        <v>1030.1544576461372</v>
      </c>
      <c r="K38" s="67">
        <v>10364.791666666666</v>
      </c>
      <c r="L38" s="67">
        <f>K38/(1+0.07)^33</f>
        <v>1111.4653127750748</v>
      </c>
      <c r="M38" s="74">
        <f>(D39*0.5)*-1</f>
        <v>75607487.280235037</v>
      </c>
      <c r="N38" s="67">
        <f>M38/(1+0.07)^33</f>
        <v>8107746.1275292328</v>
      </c>
      <c r="O38" s="67">
        <v>2477027.0418316214</v>
      </c>
      <c r="P38" s="74">
        <f>O38/(1+0.07)^33</f>
        <v>265623.24881606735</v>
      </c>
      <c r="Q38" s="67">
        <f>6520264.92*0.416666667</f>
        <v>2716777.0521734217</v>
      </c>
      <c r="R38" s="74">
        <f>Q38/(1+0.07)^33</f>
        <v>291332.76896873576</v>
      </c>
    </row>
    <row r="39" spans="1:24">
      <c r="A39" s="8" t="s">
        <v>60</v>
      </c>
      <c r="B39" s="34"/>
      <c r="C39" s="76">
        <f>SUM(C4:C38)</f>
        <v>-166759946.46911997</v>
      </c>
      <c r="D39" s="76">
        <f>SUM(D4:D38)</f>
        <v>-151214974.56047007</v>
      </c>
      <c r="E39" s="81">
        <f>SUM(E8:E38)</f>
        <v>179420400</v>
      </c>
      <c r="F39" s="82">
        <f t="shared" ref="F39" si="0">SUM(F8:F28)</f>
        <v>54567994.0343972</v>
      </c>
      <c r="G39" s="93">
        <f>SUM(G8:G38)</f>
        <v>91879380</v>
      </c>
      <c r="H39" s="93">
        <f>SUM(H8:H38)</f>
        <v>32289765.154648814</v>
      </c>
      <c r="I39" s="93">
        <f>SUM(I8:I38)</f>
        <v>691670.90226220584</v>
      </c>
      <c r="J39" s="93">
        <f>SUM(J8:J38)</f>
        <v>243078.38166028864</v>
      </c>
      <c r="K39" s="93">
        <f>SUM(K8:K38)</f>
        <v>716811.29999999993</v>
      </c>
      <c r="L39" s="93">
        <f>SUM(L8:L28)</f>
        <v>211460.60706938972</v>
      </c>
      <c r="M39" s="95">
        <f>SUM(M38)</f>
        <v>75607487.280235037</v>
      </c>
      <c r="N39" s="95">
        <f>SUM(N38)</f>
        <v>8107746.1275292328</v>
      </c>
      <c r="O39" s="75">
        <f>SUM(O4:O38)</f>
        <v>178345946.8691999</v>
      </c>
      <c r="P39" s="76">
        <f>SUM(P4:P38)</f>
        <v>62677270.359137617</v>
      </c>
      <c r="Q39" s="83">
        <f>SUM(Q8:Q38)</f>
        <v>195607947.59999993</v>
      </c>
      <c r="R39" s="76">
        <f>SUM(R8:R38)</f>
        <v>68743766.995237127</v>
      </c>
      <c r="S39" s="27"/>
      <c r="T39" s="25"/>
      <c r="U39" s="25"/>
      <c r="V39" s="25"/>
    </row>
    <row r="40" spans="1:24">
      <c r="T40" s="25"/>
      <c r="U40" s="27"/>
      <c r="V40" s="25"/>
      <c r="W40" s="25"/>
      <c r="X40" s="25"/>
    </row>
    <row r="41" spans="1:24">
      <c r="B41" s="3"/>
      <c r="T41" s="25"/>
      <c r="U41" s="27"/>
      <c r="V41" s="25"/>
      <c r="W41" s="25"/>
      <c r="X41" s="25"/>
    </row>
    <row r="42" spans="1:24">
      <c r="L42" s="3"/>
      <c r="M42" s="3"/>
      <c r="N42" s="3"/>
      <c r="O42" s="3"/>
      <c r="T42" s="25"/>
      <c r="U42" s="27"/>
      <c r="V42" s="25"/>
      <c r="W42" s="25"/>
      <c r="X42" s="25"/>
    </row>
    <row r="43" spans="1:24">
      <c r="L43" s="3"/>
      <c r="M43" s="3"/>
      <c r="N43" s="3"/>
      <c r="T43" s="25"/>
      <c r="U43" s="25"/>
      <c r="V43" s="25"/>
      <c r="W43" s="25"/>
      <c r="X43" s="25"/>
    </row>
  </sheetData>
  <mergeCells count="10">
    <mergeCell ref="A2:A3"/>
    <mergeCell ref="I2:J2"/>
    <mergeCell ref="C2:D2"/>
    <mergeCell ref="E2:F2"/>
    <mergeCell ref="K2:L2"/>
    <mergeCell ref="M2:N2"/>
    <mergeCell ref="O2:P2"/>
    <mergeCell ref="G2:H2"/>
    <mergeCell ref="B2:B3"/>
    <mergeCell ref="Q2:R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B455-BE76-4496-B58F-AB6F2AC5A3D5}">
  <sheetPr>
    <tabColor rgb="FFFFC000"/>
  </sheetPr>
  <dimension ref="A2:R39"/>
  <sheetViews>
    <sheetView zoomScale="80" zoomScaleNormal="80" workbookViewId="0">
      <selection activeCell="D39" sqref="D39"/>
    </sheetView>
  </sheetViews>
  <sheetFormatPr defaultRowHeight="14.45"/>
  <cols>
    <col min="3" max="3" width="27.28515625" bestFit="1" customWidth="1"/>
    <col min="4" max="4" width="16.7109375" bestFit="1" customWidth="1"/>
    <col min="5" max="5" width="15.42578125" bestFit="1" customWidth="1"/>
    <col min="6" max="6" width="16.28515625" customWidth="1"/>
    <col min="7" max="7" width="14.5703125" customWidth="1"/>
    <col min="8" max="8" width="15.7109375" bestFit="1" customWidth="1"/>
    <col min="9" max="9" width="12.28515625" bestFit="1" customWidth="1"/>
    <col min="10" max="10" width="13" bestFit="1" customWidth="1"/>
    <col min="11" max="12" width="12.28515625" bestFit="1" customWidth="1"/>
    <col min="13" max="14" width="15.7109375" bestFit="1" customWidth="1"/>
    <col min="15" max="15" width="17.42578125" customWidth="1"/>
    <col min="16" max="16" width="16.7109375" customWidth="1"/>
    <col min="17" max="18" width="16.7109375" bestFit="1" customWidth="1"/>
  </cols>
  <sheetData>
    <row r="2" spans="1:18" s="2" customFormat="1" ht="14.45" customHeight="1">
      <c r="A2" s="8" t="s">
        <v>202</v>
      </c>
      <c r="B2" s="8" t="s">
        <v>203</v>
      </c>
      <c r="C2" s="65" t="s">
        <v>204</v>
      </c>
      <c r="D2" s="65"/>
      <c r="E2" s="65" t="s">
        <v>37</v>
      </c>
      <c r="F2" s="65"/>
      <c r="G2" s="65" t="s">
        <v>205</v>
      </c>
      <c r="H2" s="65"/>
      <c r="I2" s="65" t="s">
        <v>206</v>
      </c>
      <c r="J2" s="65"/>
      <c r="K2" s="65" t="s">
        <v>214</v>
      </c>
      <c r="L2" s="65"/>
      <c r="M2" s="65" t="s">
        <v>196</v>
      </c>
      <c r="N2" s="65"/>
      <c r="O2" s="65" t="s">
        <v>208</v>
      </c>
      <c r="P2" s="65" t="s">
        <v>215</v>
      </c>
      <c r="Q2" s="152" t="s">
        <v>210</v>
      </c>
      <c r="R2" s="153" t="s">
        <v>209</v>
      </c>
    </row>
    <row r="3" spans="1:18" s="2" customFormat="1">
      <c r="A3" s="8"/>
      <c r="B3" s="8"/>
      <c r="C3" s="65" t="s">
        <v>66</v>
      </c>
      <c r="D3" s="65" t="s">
        <v>201</v>
      </c>
      <c r="E3" s="65" t="s">
        <v>66</v>
      </c>
      <c r="F3" s="65" t="s">
        <v>201</v>
      </c>
      <c r="G3" s="65" t="s">
        <v>66</v>
      </c>
      <c r="H3" s="65" t="s">
        <v>201</v>
      </c>
      <c r="I3" s="65" t="s">
        <v>66</v>
      </c>
      <c r="J3" s="65" t="s">
        <v>201</v>
      </c>
      <c r="K3" s="65" t="s">
        <v>66</v>
      </c>
      <c r="L3" s="65" t="s">
        <v>201</v>
      </c>
      <c r="M3" s="65" t="s">
        <v>66</v>
      </c>
      <c r="N3" s="65" t="s">
        <v>201</v>
      </c>
      <c r="O3" s="65" t="s">
        <v>66</v>
      </c>
      <c r="P3" s="65" t="s">
        <v>201</v>
      </c>
      <c r="Q3" s="70" t="s">
        <v>66</v>
      </c>
      <c r="R3" s="70" t="s">
        <v>201</v>
      </c>
    </row>
    <row r="4" spans="1:18">
      <c r="A4" s="7" t="s">
        <v>211</v>
      </c>
      <c r="B4" s="7">
        <v>1</v>
      </c>
      <c r="C4" s="78">
        <v>-32210390.11344</v>
      </c>
      <c r="D4" s="78">
        <f>C4</f>
        <v>-32210390.11344</v>
      </c>
      <c r="E4" s="66"/>
      <c r="F4" s="66"/>
      <c r="G4" s="66"/>
      <c r="H4" s="66"/>
      <c r="I4" s="66"/>
      <c r="J4" s="66"/>
      <c r="K4" s="66"/>
      <c r="L4" s="66"/>
      <c r="M4" s="66"/>
      <c r="N4" s="66"/>
      <c r="O4" s="66">
        <v>0</v>
      </c>
      <c r="P4" s="66">
        <v>0</v>
      </c>
      <c r="Q4" s="66"/>
      <c r="R4" s="66"/>
    </row>
    <row r="5" spans="1:18">
      <c r="A5" s="7">
        <v>2024</v>
      </c>
      <c r="B5" s="7">
        <v>2</v>
      </c>
      <c r="C5" s="78">
        <v>-55217811.623039998</v>
      </c>
      <c r="D5" s="78">
        <f>C5/(1+0.03)</f>
        <v>-53609525.847611651</v>
      </c>
      <c r="E5" s="66"/>
      <c r="F5" s="66"/>
      <c r="G5" s="66"/>
      <c r="H5" s="66"/>
      <c r="I5" s="66"/>
      <c r="J5" s="66"/>
      <c r="K5" s="66"/>
      <c r="L5" s="66"/>
      <c r="M5" s="66"/>
      <c r="N5" s="66"/>
      <c r="O5" s="66">
        <v>0</v>
      </c>
      <c r="P5" s="66">
        <v>0</v>
      </c>
      <c r="Q5" s="66"/>
      <c r="R5" s="66"/>
    </row>
    <row r="6" spans="1:18">
      <c r="A6" s="7">
        <v>2025</v>
      </c>
      <c r="B6" s="7">
        <v>3</v>
      </c>
      <c r="C6" s="78">
        <v>-55217811.623039998</v>
      </c>
      <c r="D6" s="78">
        <f>C6/(1+0.03)^2</f>
        <v>-52048083.347195774</v>
      </c>
      <c r="E6" s="66"/>
      <c r="F6" s="66"/>
      <c r="G6" s="66"/>
      <c r="H6" s="66"/>
      <c r="I6" s="66"/>
      <c r="J6" s="66"/>
      <c r="K6" s="66"/>
      <c r="L6" s="66"/>
      <c r="M6" s="66"/>
      <c r="N6" s="66"/>
      <c r="O6" s="66">
        <v>0</v>
      </c>
      <c r="P6" s="66">
        <v>0</v>
      </c>
      <c r="Q6" s="66"/>
      <c r="R6" s="66"/>
    </row>
    <row r="7" spans="1:18">
      <c r="A7" s="7" t="s">
        <v>212</v>
      </c>
      <c r="B7" s="7">
        <v>4</v>
      </c>
      <c r="C7" s="78">
        <v>-23007421.509599999</v>
      </c>
      <c r="D7" s="78">
        <f>C7/(1+0.03)^3</f>
        <v>-21055049.897732917</v>
      </c>
      <c r="E7" s="66"/>
      <c r="F7" s="66"/>
      <c r="G7" s="66"/>
      <c r="H7" s="66"/>
      <c r="I7" s="66"/>
      <c r="J7" s="66"/>
      <c r="K7" s="66"/>
      <c r="L7" s="66"/>
      <c r="M7" s="66"/>
      <c r="N7" s="66"/>
      <c r="O7" s="66">
        <v>0</v>
      </c>
      <c r="P7" s="66">
        <v>0</v>
      </c>
      <c r="Q7" s="66"/>
      <c r="R7" s="66"/>
    </row>
    <row r="8" spans="1:18">
      <c r="A8" s="7" t="s">
        <v>213</v>
      </c>
      <c r="B8" s="7">
        <v>4</v>
      </c>
      <c r="C8" s="78">
        <v>-21515.5</v>
      </c>
      <c r="D8" s="78">
        <f>C8/(1+0.03)^3</f>
        <v>-19689.730371812904</v>
      </c>
      <c r="E8" s="72">
        <f>5980680*0.583333333</f>
        <v>3488729.9980064402</v>
      </c>
      <c r="F8" s="67">
        <f>E8/(1+0.03)^3</f>
        <v>3192682.1594107589</v>
      </c>
      <c r="G8" s="71">
        <f>3062646*0.583333333</f>
        <v>1786543.498979118</v>
      </c>
      <c r="H8" s="67">
        <f>G8/(1+0.03)^3</f>
        <v>1634940.3821623498</v>
      </c>
      <c r="I8" s="71">
        <f>23055.6967420735*0.583333333</f>
        <v>13449.156425190977</v>
      </c>
      <c r="J8" s="67">
        <f>I8/(1+0.03)^3</f>
        <v>12307.883327849479</v>
      </c>
      <c r="K8" s="71">
        <v>12476.508333333331</v>
      </c>
      <c r="L8" s="72">
        <f>K8/(1+0.03)^3</f>
        <v>11417.772539100188</v>
      </c>
      <c r="M8" s="67"/>
      <c r="N8" s="67"/>
      <c r="O8" s="67">
        <f>5944864.89564*0.583333333</f>
        <v>3467837.8538083783</v>
      </c>
      <c r="P8" s="67">
        <f>O8/(1+0.03)^3</f>
        <v>3173562.8879018989</v>
      </c>
      <c r="Q8" s="74">
        <f>'DIscounting 7%'!Q8</f>
        <v>3803487.8678265782</v>
      </c>
      <c r="R8" s="67">
        <f>Q8/(1+0.03)^3</f>
        <v>3480730.1986924256</v>
      </c>
    </row>
    <row r="9" spans="1:18">
      <c r="A9" s="7">
        <v>2027</v>
      </c>
      <c r="B9" s="7">
        <v>5</v>
      </c>
      <c r="C9" s="78">
        <v>-36883.72</v>
      </c>
      <c r="D9" s="78">
        <f>C9/(1+0.03)^4</f>
        <v>-32770.707498948854</v>
      </c>
      <c r="E9" s="72">
        <v>5980680</v>
      </c>
      <c r="F9" s="67">
        <f>E9/(1+0.03)^4</f>
        <v>5313756.7177284025</v>
      </c>
      <c r="G9" s="71">
        <v>3062646</v>
      </c>
      <c r="H9" s="67">
        <f>G9/(1+0.03)^4</f>
        <v>2721121.3033507932</v>
      </c>
      <c r="I9" s="71">
        <v>23055.696742073545</v>
      </c>
      <c r="J9" s="67">
        <f>I9/(1+0.03)^4</f>
        <v>20484.687936004291</v>
      </c>
      <c r="K9" s="71">
        <v>21768.2</v>
      </c>
      <c r="L9" s="72">
        <f>K9/(1+0.03)^4</f>
        <v>19340.7637564383</v>
      </c>
      <c r="M9" s="67"/>
      <c r="N9" s="67"/>
      <c r="O9" s="67">
        <v>5944864.8956399998</v>
      </c>
      <c r="P9" s="67">
        <f>O9/(1+0.03)^4</f>
        <v>5281935.4613847937</v>
      </c>
      <c r="Q9" s="74">
        <f>'DIscounting 7%'!Q9</f>
        <v>6520264.9199999999</v>
      </c>
      <c r="R9" s="67">
        <f>Q9/(1+0.03)^4</f>
        <v>5793170.9303990258</v>
      </c>
    </row>
    <row r="10" spans="1:18">
      <c r="A10" s="7">
        <v>2028</v>
      </c>
      <c r="B10" s="7">
        <v>6</v>
      </c>
      <c r="C10" s="78">
        <v>-36883.72</v>
      </c>
      <c r="D10" s="78">
        <f>C10/(1+0.03)^5</f>
        <v>-31816.220872765884</v>
      </c>
      <c r="E10" s="72">
        <v>5980680</v>
      </c>
      <c r="F10" s="67">
        <f>E10/(1+0.03)^5</f>
        <v>5158987.1045906823</v>
      </c>
      <c r="G10" s="71">
        <v>3062646</v>
      </c>
      <c r="H10" s="67">
        <f>G10/(1+0.03)^5</f>
        <v>2641865.3430590224</v>
      </c>
      <c r="I10" s="71">
        <v>23055.696742073545</v>
      </c>
      <c r="J10" s="67">
        <f>I10/(1+0.03)^5</f>
        <v>19888.046539809995</v>
      </c>
      <c r="K10" s="71">
        <v>22226</v>
      </c>
      <c r="L10" s="72">
        <f>K10/(1+0.03)^5</f>
        <v>19172.342841722431</v>
      </c>
      <c r="M10" s="67"/>
      <c r="N10" s="67"/>
      <c r="O10" s="67">
        <v>5944864.8956399998</v>
      </c>
      <c r="P10" s="67">
        <f>O10/(1+0.03)^5</f>
        <v>5128092.6809561104</v>
      </c>
      <c r="Q10" s="74">
        <f>'DIscounting 7%'!Q10</f>
        <v>6520264.9199999999</v>
      </c>
      <c r="R10" s="67">
        <f>Q10/(1+0.03)^5</f>
        <v>5624437.7965039089</v>
      </c>
    </row>
    <row r="11" spans="1:18">
      <c r="A11" s="7">
        <v>2029</v>
      </c>
      <c r="B11" s="7">
        <v>7</v>
      </c>
      <c r="C11" s="78">
        <v>-36883.72</v>
      </c>
      <c r="D11" s="78">
        <f>C11/(1+0.03)^6</f>
        <v>-30889.534827928041</v>
      </c>
      <c r="E11" s="72">
        <v>5980680</v>
      </c>
      <c r="F11" s="67">
        <f>E11/(1+0.03)^6</f>
        <v>5008725.3442627983</v>
      </c>
      <c r="G11" s="71">
        <v>3062646</v>
      </c>
      <c r="H11" s="67">
        <f>G11/(1+0.03)^6</f>
        <v>2564917.8087951676</v>
      </c>
      <c r="I11" s="71">
        <v>23055.696742073545</v>
      </c>
      <c r="J11" s="67">
        <f>I11/(1+0.03)^6</f>
        <v>19308.783048359215</v>
      </c>
      <c r="K11" s="71">
        <v>22609.9</v>
      </c>
      <c r="L11" s="72">
        <f>K11/(1+0.03)^6</f>
        <v>18935.435295191761</v>
      </c>
      <c r="M11" s="67"/>
      <c r="N11" s="67"/>
      <c r="O11" s="67">
        <v>5944864.8956399998</v>
      </c>
      <c r="P11" s="67">
        <f>O11/(1+0.03)^6</f>
        <v>4978730.7582098162</v>
      </c>
      <c r="Q11" s="74">
        <f>'DIscounting 7%'!Q11</f>
        <v>6520264.9199999999</v>
      </c>
      <c r="R11" s="67">
        <f>Q11/(1+0.03)^6</f>
        <v>5460619.2199067073</v>
      </c>
    </row>
    <row r="12" spans="1:18">
      <c r="A12" s="7">
        <v>2030</v>
      </c>
      <c r="B12" s="7">
        <v>8</v>
      </c>
      <c r="C12" s="78">
        <v>-36883.72</v>
      </c>
      <c r="D12" s="78">
        <f>C12/(1+0.03)^7</f>
        <v>-29989.839638765086</v>
      </c>
      <c r="E12" s="72">
        <v>5980680</v>
      </c>
      <c r="F12" s="67">
        <f>E12/(1+0.03)^7</f>
        <v>4862840.1400609687</v>
      </c>
      <c r="G12" s="71">
        <v>3062646</v>
      </c>
      <c r="H12" s="67">
        <f>G12/(1+0.03)^7</f>
        <v>2490211.4648496769</v>
      </c>
      <c r="I12" s="71">
        <v>23055.696742073545</v>
      </c>
      <c r="J12" s="67">
        <f>I12/(1+0.03)^7</f>
        <v>18746.391309086615</v>
      </c>
      <c r="K12" s="71">
        <v>23083.8</v>
      </c>
      <c r="L12" s="72">
        <f>K12/(1+0.03)^7</f>
        <v>18769.241829547707</v>
      </c>
      <c r="M12" s="67"/>
      <c r="N12" s="67"/>
      <c r="O12" s="67">
        <v>5944864.8956399998</v>
      </c>
      <c r="P12" s="67">
        <f>O12/(1+0.03)^7</f>
        <v>4833719.1827279767</v>
      </c>
      <c r="Q12" s="74">
        <f>'DIscounting 7%'!Q12</f>
        <v>6520264.9199999999</v>
      </c>
      <c r="R12" s="67">
        <f>Q12/(1+0.03)^7</f>
        <v>5301572.0581618519</v>
      </c>
    </row>
    <row r="13" spans="1:18">
      <c r="A13" s="7">
        <v>2031</v>
      </c>
      <c r="B13" s="7">
        <v>9</v>
      </c>
      <c r="C13" s="78">
        <v>-36883.72</v>
      </c>
      <c r="D13" s="78">
        <f>C13/(1+0.03)^8</f>
        <v>-29116.349163849602</v>
      </c>
      <c r="E13" s="72">
        <v>5980680</v>
      </c>
      <c r="F13" s="67">
        <f>E13/(1+0.03)^8</f>
        <v>4721204.0194766698</v>
      </c>
      <c r="G13" s="71">
        <v>3062646</v>
      </c>
      <c r="H13" s="67">
        <f>G13/(1+0.03)^8</f>
        <v>2417681.0338346381</v>
      </c>
      <c r="I13" s="71">
        <v>23055.696742073545</v>
      </c>
      <c r="J13" s="67">
        <f>I13/(1+0.03)^8</f>
        <v>18200.379911734581</v>
      </c>
      <c r="K13" s="71">
        <v>23161.7</v>
      </c>
      <c r="L13" s="72">
        <f>K13/(1+0.03)^8</f>
        <v>18284.059862409085</v>
      </c>
      <c r="M13" s="67"/>
      <c r="N13" s="67"/>
      <c r="O13" s="67">
        <v>5944864.8956399998</v>
      </c>
      <c r="P13" s="67">
        <f>O13/(1+0.03)^8</f>
        <v>4692931.2453669682</v>
      </c>
      <c r="Q13" s="74">
        <f>'DIscounting 7%'!Q13</f>
        <v>6520264.9199999999</v>
      </c>
      <c r="R13" s="67">
        <f>Q13/(1+0.03)^8</f>
        <v>5147157.338021216</v>
      </c>
    </row>
    <row r="14" spans="1:18">
      <c r="A14" s="7">
        <v>2032</v>
      </c>
      <c r="B14" s="7">
        <v>10</v>
      </c>
      <c r="C14" s="78">
        <v>-36883.72</v>
      </c>
      <c r="D14" s="78">
        <f>C14/(1+0.03)^9</f>
        <v>-28268.30015907728</v>
      </c>
      <c r="E14" s="72">
        <v>5980680</v>
      </c>
      <c r="F14" s="67">
        <f>E14/(1+0.03)^9</f>
        <v>4583693.2227928825</v>
      </c>
      <c r="G14" s="71">
        <v>3062646</v>
      </c>
      <c r="H14" s="67">
        <f>G14/(1+0.03)^9</f>
        <v>2347263.1396452799</v>
      </c>
      <c r="I14" s="71">
        <v>23055.696742073545</v>
      </c>
      <c r="J14" s="67">
        <f>I14/(1+0.03)^9</f>
        <v>17670.271758965613</v>
      </c>
      <c r="K14" s="71">
        <v>23239.599999999999</v>
      </c>
      <c r="L14" s="72">
        <f>K14/(1+0.03)^9</f>
        <v>17811.218292972953</v>
      </c>
      <c r="M14" s="67"/>
      <c r="N14" s="67"/>
      <c r="O14" s="67">
        <v>5944864.8956399998</v>
      </c>
      <c r="P14" s="67">
        <f>O14/(1+0.03)^9</f>
        <v>4556243.9275407456</v>
      </c>
      <c r="Q14" s="74">
        <f>'DIscounting 7%'!Q14</f>
        <v>6520264.9199999999</v>
      </c>
      <c r="R14" s="67">
        <f>Q14/(1+0.03)^9</f>
        <v>4997240.1340011805</v>
      </c>
    </row>
    <row r="15" spans="1:18">
      <c r="A15" s="7">
        <v>2033</v>
      </c>
      <c r="B15" s="7">
        <v>11</v>
      </c>
      <c r="C15" s="78">
        <v>-36883.72</v>
      </c>
      <c r="D15" s="78">
        <f>C15/(1+0.03)^10</f>
        <v>-27444.951610754641</v>
      </c>
      <c r="E15" s="72">
        <v>5980680</v>
      </c>
      <c r="F15" s="67">
        <f>E15/(1+0.03)^10</f>
        <v>4450187.594944546</v>
      </c>
      <c r="G15" s="71">
        <v>3062646</v>
      </c>
      <c r="H15" s="67">
        <f>G15/(1+0.03)^10</f>
        <v>2278896.2520827958</v>
      </c>
      <c r="I15" s="71">
        <v>23055.696742073545</v>
      </c>
      <c r="J15" s="67">
        <f>I15/(1+0.03)^10</f>
        <v>17155.603649481178</v>
      </c>
      <c r="K15" s="71">
        <v>23317.5</v>
      </c>
      <c r="L15" s="72">
        <f>K15/(1+0.03)^10</f>
        <v>17350.409860604388</v>
      </c>
      <c r="M15" s="67"/>
      <c r="N15" s="67"/>
      <c r="O15" s="67">
        <v>5944864.8956399998</v>
      </c>
      <c r="P15" s="67">
        <f>O15/(1+0.03)^10</f>
        <v>4423537.7937288787</v>
      </c>
      <c r="Q15" s="74">
        <f>'DIscounting 7%'!Q15</f>
        <v>6520264.9199999999</v>
      </c>
      <c r="R15" s="67">
        <f>Q15/(1+0.03)^10</f>
        <v>4851689.4504865827</v>
      </c>
    </row>
    <row r="16" spans="1:18">
      <c r="A16" s="7">
        <v>2034</v>
      </c>
      <c r="B16" s="7">
        <v>12</v>
      </c>
      <c r="C16" s="78">
        <v>-36883.72</v>
      </c>
      <c r="D16" s="78">
        <f>C16/(1+0.03)^11</f>
        <v>-26645.5840881113</v>
      </c>
      <c r="E16" s="72">
        <v>5980680</v>
      </c>
      <c r="F16" s="67">
        <f>E16/(1+0.03)^11</f>
        <v>4320570.4805286853</v>
      </c>
      <c r="G16" s="71">
        <v>3062646</v>
      </c>
      <c r="H16" s="67">
        <f>G16/(1+0.03)^11</f>
        <v>2212520.6330900928</v>
      </c>
      <c r="I16" s="71">
        <v>23055.696742073545</v>
      </c>
      <c r="J16" s="67">
        <f>I16/(1+0.03)^11</f>
        <v>16655.925873282697</v>
      </c>
      <c r="K16" s="71">
        <v>23395.4</v>
      </c>
      <c r="L16" s="72">
        <f>K16/(1+0.03)^11</f>
        <v>16901.334734538683</v>
      </c>
      <c r="M16" s="67"/>
      <c r="N16" s="67"/>
      <c r="O16" s="67">
        <v>5944864.8956399998</v>
      </c>
      <c r="P16" s="67">
        <f>O16/(1+0.03)^11</f>
        <v>4294696.8871154161</v>
      </c>
      <c r="Q16" s="74">
        <f>'DIscounting 7%'!Q16</f>
        <v>6520264.9199999999</v>
      </c>
      <c r="R16" s="67">
        <f>Q16/(1+0.03)^11</f>
        <v>4710378.1072685262</v>
      </c>
    </row>
    <row r="17" spans="1:18">
      <c r="A17" s="7">
        <v>2035</v>
      </c>
      <c r="B17" s="7">
        <v>13</v>
      </c>
      <c r="C17" s="78">
        <v>-36883.72</v>
      </c>
      <c r="D17" s="78">
        <f>C17/(1+0.03)^12</f>
        <v>-25869.499114671169</v>
      </c>
      <c r="E17" s="72">
        <v>5980680</v>
      </c>
      <c r="F17" s="67">
        <f>E17/(1+0.03)^12</f>
        <v>4194728.6218725108</v>
      </c>
      <c r="G17" s="71">
        <v>3062646</v>
      </c>
      <c r="H17" s="67">
        <f>G17/(1+0.03)^12</f>
        <v>2148078.2845534887</v>
      </c>
      <c r="I17" s="71">
        <v>23055.696742073545</v>
      </c>
      <c r="J17" s="67">
        <f>I17/(1+0.03)^12</f>
        <v>16170.801818721066</v>
      </c>
      <c r="K17" s="71">
        <v>23473.3</v>
      </c>
      <c r="L17" s="72">
        <f>K17/(1+0.03)^12</f>
        <v>16463.700341733718</v>
      </c>
      <c r="M17" s="67"/>
      <c r="N17" s="67"/>
      <c r="O17" s="67">
        <v>5944864.8956399998</v>
      </c>
      <c r="P17" s="67">
        <f>O17/(1+0.03)^12</f>
        <v>4169608.6282673953</v>
      </c>
      <c r="Q17" s="74">
        <f>'DIscounting 7%'!Q17</f>
        <v>6520264.9199999999</v>
      </c>
      <c r="R17" s="67">
        <f>Q17/(1+0.03)^12</f>
        <v>4573182.6284160456</v>
      </c>
    </row>
    <row r="18" spans="1:18">
      <c r="A18" s="7">
        <v>2036</v>
      </c>
      <c r="B18" s="7">
        <v>14</v>
      </c>
      <c r="C18" s="78">
        <v>-36883.72</v>
      </c>
      <c r="D18" s="78">
        <f>C18/(1+0.03)^13</f>
        <v>-25116.018557933177</v>
      </c>
      <c r="E18" s="72">
        <v>5980680</v>
      </c>
      <c r="F18" s="67">
        <f>E18/(1+0.03)^13</f>
        <v>4072552.0600703992</v>
      </c>
      <c r="G18" s="71">
        <v>3062646</v>
      </c>
      <c r="H18" s="67">
        <f>G18/(1+0.03)^13</f>
        <v>2085512.8976247464</v>
      </c>
      <c r="I18" s="71">
        <v>23055.696742073545</v>
      </c>
      <c r="J18" s="67">
        <f>I18/(1+0.03)^13</f>
        <v>15699.807590991328</v>
      </c>
      <c r="K18" s="71">
        <v>23629.1</v>
      </c>
      <c r="L18" s="72">
        <f>K18/(1+0.03)^13</f>
        <v>16090.267307832799</v>
      </c>
      <c r="M18" s="67"/>
      <c r="N18" s="67"/>
      <c r="O18" s="67">
        <v>5944864.8956399998</v>
      </c>
      <c r="P18" s="67">
        <f>O18/(1+0.03)^13</f>
        <v>4048163.7167644617</v>
      </c>
      <c r="Q18" s="74">
        <f>'DIscounting 7%'!Q18</f>
        <v>6520264.9199999999</v>
      </c>
      <c r="R18" s="67">
        <f>Q18/(1+0.03)^13</f>
        <v>4439983.134384511</v>
      </c>
    </row>
    <row r="19" spans="1:18">
      <c r="A19" s="7">
        <v>2037</v>
      </c>
      <c r="B19" s="7">
        <v>15</v>
      </c>
      <c r="C19" s="78">
        <v>-36883.72</v>
      </c>
      <c r="D19" s="78">
        <f>C19/(1+0.03)^14</f>
        <v>-24384.484036828326</v>
      </c>
      <c r="E19" s="72">
        <v>5980680</v>
      </c>
      <c r="F19" s="67">
        <f>E19/(1+0.03)^14</f>
        <v>3953934.0389032997</v>
      </c>
      <c r="G19" s="71">
        <v>3062646</v>
      </c>
      <c r="H19" s="67">
        <f>G19/(1+0.03)^14</f>
        <v>2024769.803519171</v>
      </c>
      <c r="I19" s="71">
        <v>23055.696742073545</v>
      </c>
      <c r="J19" s="67">
        <f>I19/(1+0.03)^14</f>
        <v>15242.531641739151</v>
      </c>
      <c r="K19" s="71">
        <v>23707</v>
      </c>
      <c r="L19" s="72">
        <f>K19/(1+0.03)^14</f>
        <v>15673.119822542007</v>
      </c>
      <c r="M19" s="67"/>
      <c r="N19" s="67"/>
      <c r="O19" s="67">
        <v>5944864.8956399998</v>
      </c>
      <c r="P19" s="67">
        <f>O19/(1+0.03)^14</f>
        <v>3930256.0356936515</v>
      </c>
      <c r="Q19" s="74">
        <f>'DIscounting 7%'!Q19</f>
        <v>6520264.9199999999</v>
      </c>
      <c r="R19" s="67">
        <f>Q19/(1+0.03)^14</f>
        <v>4310663.2372665154</v>
      </c>
    </row>
    <row r="20" spans="1:18">
      <c r="A20" s="7">
        <v>2038</v>
      </c>
      <c r="B20" s="7">
        <v>16</v>
      </c>
      <c r="C20" s="78">
        <v>-36883.72</v>
      </c>
      <c r="D20" s="78">
        <f>C20/(1+0.03)^15</f>
        <v>-23674.256346435264</v>
      </c>
      <c r="E20" s="72">
        <v>5980680</v>
      </c>
      <c r="F20" s="67">
        <f>E20/(1+0.03)^15</f>
        <v>3838770.9115566015</v>
      </c>
      <c r="G20" s="71">
        <v>3062646</v>
      </c>
      <c r="H20" s="67">
        <f>G20/(1+0.03)^15</f>
        <v>1965795.9257467678</v>
      </c>
      <c r="I20" s="71">
        <v>23055.696742073545</v>
      </c>
      <c r="J20" s="67">
        <f>I20/(1+0.03)^15</f>
        <v>14798.574409455485</v>
      </c>
      <c r="K20" s="71">
        <v>23784.9</v>
      </c>
      <c r="L20" s="72">
        <f>K20/(1+0.03)^15</f>
        <v>15266.622232636191</v>
      </c>
      <c r="M20" s="67"/>
      <c r="N20" s="67"/>
      <c r="O20" s="67">
        <v>5944864.8956399998</v>
      </c>
      <c r="P20" s="67">
        <f>O20/(1+0.03)^15</f>
        <v>3815782.558925875</v>
      </c>
      <c r="Q20" s="74">
        <f>'DIscounting 7%'!Q20</f>
        <v>6520264.9199999999</v>
      </c>
      <c r="R20" s="67">
        <f>Q20/(1+0.03)^15</f>
        <v>4185109.9390937034</v>
      </c>
    </row>
    <row r="21" spans="1:18">
      <c r="A21" s="7">
        <v>2039</v>
      </c>
      <c r="B21" s="7">
        <v>17</v>
      </c>
      <c r="C21" s="78">
        <v>-36883.72</v>
      </c>
      <c r="D21" s="78">
        <f>C21/(1+0.03)^16</f>
        <v>-22984.714899451716</v>
      </c>
      <c r="E21" s="72">
        <v>5980680</v>
      </c>
      <c r="F21" s="67">
        <f>E21/(1+0.03)^16</f>
        <v>3726962.0500549534</v>
      </c>
      <c r="G21" s="71">
        <v>3062646</v>
      </c>
      <c r="H21" s="67">
        <f>G21/(1+0.03)^16</f>
        <v>1908539.7337347264</v>
      </c>
      <c r="I21" s="71">
        <v>23055.696742073545</v>
      </c>
      <c r="J21" s="67">
        <f>I21/(1+0.03)^16</f>
        <v>14367.547970345135</v>
      </c>
      <c r="K21" s="71">
        <v>23862.799999999999</v>
      </c>
      <c r="L21" s="72">
        <f>K21/(1+0.03)^16</f>
        <v>14870.508037221745</v>
      </c>
      <c r="M21" s="67"/>
      <c r="N21" s="67"/>
      <c r="O21" s="67">
        <v>5944864.8956399998</v>
      </c>
      <c r="P21" s="67">
        <f>O21/(1+0.03)^16</f>
        <v>3704643.2610930833</v>
      </c>
      <c r="Q21" s="74">
        <f>'DIscounting 7%'!Q21</f>
        <v>6520264.9199999999</v>
      </c>
      <c r="R21" s="67">
        <f>Q21/(1+0.03)^16</f>
        <v>4063213.5331006837</v>
      </c>
    </row>
    <row r="22" spans="1:18">
      <c r="A22" s="7">
        <v>2040</v>
      </c>
      <c r="B22" s="7">
        <v>18</v>
      </c>
      <c r="C22" s="78">
        <v>-36883.72</v>
      </c>
      <c r="D22" s="78">
        <f>C22/(1+0.03)^17</f>
        <v>-22315.257183933707</v>
      </c>
      <c r="E22" s="72">
        <v>5980680</v>
      </c>
      <c r="F22" s="67">
        <f>E22/(1+0.03)^17</f>
        <v>3618409.7573349066</v>
      </c>
      <c r="G22" s="71">
        <v>3062646</v>
      </c>
      <c r="H22" s="67">
        <f>G22/(1+0.03)^17</f>
        <v>1852951.1978007052</v>
      </c>
      <c r="I22" s="71">
        <v>23055.696742073545</v>
      </c>
      <c r="J22" s="67">
        <f>I22/(1+0.03)^17</f>
        <v>13949.075699364208</v>
      </c>
      <c r="K22" s="71">
        <v>23940.7</v>
      </c>
      <c r="L22" s="72">
        <f>K22/(1+0.03)^17</f>
        <v>14484.517225035916</v>
      </c>
      <c r="M22" s="67"/>
      <c r="N22" s="67"/>
      <c r="O22" s="67">
        <v>5944864.8956399998</v>
      </c>
      <c r="P22" s="67">
        <f>O22/(1+0.03)^17</f>
        <v>3596741.0301874597</v>
      </c>
      <c r="Q22" s="74">
        <f>'DIscounting 7%'!Q22</f>
        <v>6520264.9199999999</v>
      </c>
      <c r="R22" s="67">
        <f>Q22/(1+0.03)^17</f>
        <v>3944867.5078647416</v>
      </c>
    </row>
    <row r="23" spans="1:18">
      <c r="A23" s="7">
        <v>2041</v>
      </c>
      <c r="B23" s="7">
        <v>19</v>
      </c>
      <c r="C23" s="78">
        <v>-36883.72</v>
      </c>
      <c r="D23" s="78">
        <f>C23/(1+0.03)^18</f>
        <v>-21665.298236828839</v>
      </c>
      <c r="E23" s="72">
        <v>5980680</v>
      </c>
      <c r="F23" s="67">
        <f>E23/(1+0.03)^18</f>
        <v>3513019.18187855</v>
      </c>
      <c r="G23" s="71">
        <v>3062646</v>
      </c>
      <c r="H23" s="67">
        <f>G23/(1+0.03)^18</f>
        <v>1798981.7454375778</v>
      </c>
      <c r="I23" s="71">
        <v>23055.696742073545</v>
      </c>
      <c r="J23" s="67">
        <f>I23/(1+0.03)^18</f>
        <v>13542.791941130299</v>
      </c>
      <c r="K23" s="71">
        <v>24018.6</v>
      </c>
      <c r="L23" s="72">
        <f>K23/(1+0.03)^18</f>
        <v>14108.396122492448</v>
      </c>
      <c r="M23" s="67"/>
      <c r="N23" s="67"/>
      <c r="O23" s="67">
        <v>5944864.8956399998</v>
      </c>
      <c r="P23" s="67">
        <f>O23/(1+0.03)^18</f>
        <v>3491981.5827062712</v>
      </c>
      <c r="Q23" s="74">
        <f>'DIscounting 7%'!Q23</f>
        <v>6520264.9199999999</v>
      </c>
      <c r="R23" s="67">
        <f>Q23/(1+0.03)^18</f>
        <v>3829968.4542376129</v>
      </c>
    </row>
    <row r="24" spans="1:18">
      <c r="A24" s="7">
        <v>2042</v>
      </c>
      <c r="B24" s="7">
        <v>20</v>
      </c>
      <c r="C24" s="78">
        <v>-36883.72</v>
      </c>
      <c r="D24" s="78">
        <f>C24/(1+0.03)^19</f>
        <v>-21034.270132843536</v>
      </c>
      <c r="E24" s="72">
        <v>5980680</v>
      </c>
      <c r="F24" s="67">
        <f>E24/(1+0.03)^19</f>
        <v>3410698.2348335437</v>
      </c>
      <c r="G24" s="71">
        <v>3062646</v>
      </c>
      <c r="H24" s="67">
        <f>G24/(1+0.03)^19</f>
        <v>1746584.2188714349</v>
      </c>
      <c r="I24" s="71">
        <v>23055.696742073545</v>
      </c>
      <c r="J24" s="67">
        <f>I24/(1+0.03)^19</f>
        <v>13148.341690417767</v>
      </c>
      <c r="K24" s="71">
        <v>24096.5</v>
      </c>
      <c r="L24" s="72">
        <f>K24/(1+0.03)^19</f>
        <v>13741.897245073551</v>
      </c>
      <c r="M24" s="67"/>
      <c r="N24" s="67"/>
      <c r="O24" s="67">
        <v>5944864.8956399998</v>
      </c>
      <c r="P24" s="67">
        <f>O24/(1+0.03)^19</f>
        <v>3390273.3812682247</v>
      </c>
      <c r="Q24" s="74">
        <f>'DIscounting 7%'!Q24</f>
        <v>6520264.9199999999</v>
      </c>
      <c r="R24" s="67">
        <f>Q24/(1+0.03)^19</f>
        <v>3718415.9749879739</v>
      </c>
    </row>
    <row r="25" spans="1:18">
      <c r="A25" s="7">
        <v>2043</v>
      </c>
      <c r="B25" s="7">
        <v>21</v>
      </c>
      <c r="C25" s="78">
        <v>-36883.72</v>
      </c>
      <c r="D25" s="78">
        <f>C25/(1+0.03)^20</f>
        <v>-20421.621488197608</v>
      </c>
      <c r="E25" s="72">
        <v>5980680</v>
      </c>
      <c r="F25" s="67">
        <f>E25/(1+0.03)^20</f>
        <v>3311357.5095471297</v>
      </c>
      <c r="G25" s="71">
        <v>3062646</v>
      </c>
      <c r="H25" s="67">
        <f>G25/(1+0.03)^20</f>
        <v>1695712.8338557621</v>
      </c>
      <c r="I25" s="71">
        <v>23055.696742073545</v>
      </c>
      <c r="J25" s="67">
        <f>I25/(1+0.03)^20</f>
        <v>12765.380281958996</v>
      </c>
      <c r="K25" s="71">
        <v>24252.3</v>
      </c>
      <c r="L25" s="72">
        <f>K25/(1+0.03)^20</f>
        <v>13427.910493253252</v>
      </c>
      <c r="M25" s="67"/>
      <c r="N25" s="67"/>
      <c r="O25" s="67">
        <v>5944864.8956399998</v>
      </c>
      <c r="P25" s="67">
        <f>O25/(1+0.03)^20</f>
        <v>3291527.5546293445</v>
      </c>
      <c r="Q25" s="74">
        <f>'DIscounting 7%'!Q25</f>
        <v>6520264.9199999999</v>
      </c>
      <c r="R25" s="67">
        <f>Q25/(1+0.03)^20</f>
        <v>3610112.5970757031</v>
      </c>
    </row>
    <row r="26" spans="1:18">
      <c r="A26" s="7">
        <v>2044</v>
      </c>
      <c r="B26" s="7">
        <v>22</v>
      </c>
      <c r="C26" s="78">
        <v>-36883.72</v>
      </c>
      <c r="D26" s="78">
        <f>C26/(1+0.03)^21</f>
        <v>-19826.81697883263</v>
      </c>
      <c r="E26" s="72">
        <v>5980680</v>
      </c>
      <c r="F26" s="67">
        <f>E26/(1+0.03)^21</f>
        <v>3214910.2034438159</v>
      </c>
      <c r="G26" s="92">
        <v>3062646</v>
      </c>
      <c r="H26" s="67">
        <f>G26/(1+0.03)^21</f>
        <v>1646323.1396657885</v>
      </c>
      <c r="I26" s="92">
        <v>23055.696742073545</v>
      </c>
      <c r="J26" s="67">
        <f>I26/(1+0.03)^21</f>
        <v>12393.57308928058</v>
      </c>
      <c r="K26" s="92">
        <v>24330.2</v>
      </c>
      <c r="L26" s="77">
        <f>K26/(1+0.03)^21</f>
        <v>13078.681392722689</v>
      </c>
      <c r="M26" s="67"/>
      <c r="N26" s="67"/>
      <c r="O26" s="67">
        <v>5944864.8956399998</v>
      </c>
      <c r="P26" s="67">
        <f>O26/(1+0.03)^21</f>
        <v>3195657.8200284899</v>
      </c>
      <c r="Q26" s="74">
        <f>'DIscounting 7%'!Q26</f>
        <v>6520264.9199999999</v>
      </c>
      <c r="R26" s="67">
        <f>Q26/(1+0.03)^21</f>
        <v>3504963.6864812654</v>
      </c>
    </row>
    <row r="27" spans="1:18">
      <c r="A27" s="7">
        <v>2045</v>
      </c>
      <c r="B27" s="7">
        <v>23</v>
      </c>
      <c r="C27" s="78">
        <v>-36883.72</v>
      </c>
      <c r="D27" s="78">
        <f>C27/(1+0.03)^22</f>
        <v>-19249.336872653039</v>
      </c>
      <c r="E27" s="72">
        <v>5980680</v>
      </c>
      <c r="F27" s="67">
        <f>E27/(1+0.03)^22</f>
        <v>3121272.0421784618</v>
      </c>
      <c r="G27" s="72">
        <v>3062646</v>
      </c>
      <c r="H27" s="67">
        <f>G27/(1+0.03)^22</f>
        <v>1598371.9802580471</v>
      </c>
      <c r="I27" s="72">
        <v>23055.696742073545</v>
      </c>
      <c r="J27" s="67">
        <f>I27/(1+0.03)^22</f>
        <v>12032.595232311241</v>
      </c>
      <c r="K27" s="72">
        <v>24408.1</v>
      </c>
      <c r="L27" s="72">
        <f>K27/(1+0.03)^22</f>
        <v>12738.404350792234</v>
      </c>
      <c r="M27" s="67"/>
      <c r="N27" s="67"/>
      <c r="O27" s="67">
        <v>5944864.8956399998</v>
      </c>
      <c r="P27" s="67">
        <f>O27/(1+0.03)^22</f>
        <v>3102580.4077946502</v>
      </c>
      <c r="Q27" s="74">
        <f>'DIscounting 7%'!Q27</f>
        <v>6520264.9199999999</v>
      </c>
      <c r="R27" s="67">
        <f>Q27/(1+0.03)^22</f>
        <v>3402877.3655157913</v>
      </c>
    </row>
    <row r="28" spans="1:18">
      <c r="A28" s="7">
        <v>2046</v>
      </c>
      <c r="B28" s="7">
        <v>24</v>
      </c>
      <c r="C28" s="78">
        <v>-36883.72</v>
      </c>
      <c r="D28" s="78">
        <f>C28/(1+0.03)^23</f>
        <v>-18688.676575391299</v>
      </c>
      <c r="E28" s="72">
        <v>5980680</v>
      </c>
      <c r="F28" s="67">
        <f>E28/(1+0.03)^23</f>
        <v>3030361.2059985064</v>
      </c>
      <c r="G28" s="72">
        <v>3062646</v>
      </c>
      <c r="H28" s="67">
        <f>G28/(1+0.03)^23</f>
        <v>1551817.4565612106</v>
      </c>
      <c r="I28" s="72">
        <v>23055.696742073545</v>
      </c>
      <c r="J28" s="67">
        <f>I28/(1+0.03)^23</f>
        <v>11682.13129350606</v>
      </c>
      <c r="K28" s="72">
        <v>24486</v>
      </c>
      <c r="L28" s="72">
        <f>K28/(1+0.03)^23</f>
        <v>12406.854152049504</v>
      </c>
      <c r="M28" s="67"/>
      <c r="N28" s="67"/>
      <c r="O28" s="67">
        <v>5944864.8956399998</v>
      </c>
      <c r="P28" s="67">
        <f>O28/(1+0.03)^23</f>
        <v>3012213.9881501459</v>
      </c>
      <c r="Q28" s="74">
        <f>'DIscounting 7%'!Q28</f>
        <v>6520264.9199999999</v>
      </c>
      <c r="R28" s="67">
        <f>Q28/(1+0.03)^23</f>
        <v>3303764.4325396032</v>
      </c>
    </row>
    <row r="29" spans="1:18">
      <c r="A29" s="7">
        <v>2047</v>
      </c>
      <c r="B29" s="7">
        <v>25</v>
      </c>
      <c r="C29" s="72">
        <v>-36883.72</v>
      </c>
      <c r="D29" s="72">
        <f>C29/(1+0.03)^24</f>
        <v>-18144.346189700293</v>
      </c>
      <c r="E29" s="72">
        <v>5980680</v>
      </c>
      <c r="F29" s="72">
        <f>E29/(1+0.03)^24</f>
        <v>2942098.2582509774</v>
      </c>
      <c r="G29" s="72">
        <v>3062646</v>
      </c>
      <c r="H29" s="72">
        <f>G29/(1+0.03)^24</f>
        <v>1506618.8898652534</v>
      </c>
      <c r="I29" s="72">
        <v>23055.696742073545</v>
      </c>
      <c r="J29" s="72">
        <f>I29/(1+0.03)^24</f>
        <v>11341.875042238895</v>
      </c>
      <c r="K29" s="72">
        <v>24563.9</v>
      </c>
      <c r="L29" s="72">
        <f>K29/(1+0.03)^24</f>
        <v>12083.811106070078</v>
      </c>
      <c r="M29" s="67"/>
      <c r="N29" s="67"/>
      <c r="O29" s="67">
        <v>5944864.8956399998</v>
      </c>
      <c r="P29" s="67">
        <f>O29/(1+0.03)^24</f>
        <v>2924479.600145773</v>
      </c>
      <c r="Q29" s="74">
        <f>'DIscounting 7%'!Q29</f>
        <v>6520264.9199999999</v>
      </c>
      <c r="R29" s="67">
        <f>Q29/(1+0.03)^24</f>
        <v>3207538.2840190325</v>
      </c>
    </row>
    <row r="30" spans="1:18">
      <c r="A30" s="7">
        <v>2048</v>
      </c>
      <c r="B30" s="7">
        <v>26</v>
      </c>
      <c r="C30" s="72">
        <v>-36883.72</v>
      </c>
      <c r="D30" s="72">
        <f>C30/(1+0.03)^25</f>
        <v>-17615.870087087664</v>
      </c>
      <c r="E30" s="72">
        <v>5980680</v>
      </c>
      <c r="F30" s="72">
        <f>E30/(1+0.03)^25</f>
        <v>2856406.0759718227</v>
      </c>
      <c r="G30" s="72">
        <v>3062646</v>
      </c>
      <c r="H30" s="72">
        <f>G30/(1+0.03)^25</f>
        <v>1462736.7862769449</v>
      </c>
      <c r="I30" s="72">
        <v>23055.696742073545</v>
      </c>
      <c r="J30" s="72">
        <f>I30/(1+0.03)^25</f>
        <v>11011.529167222228</v>
      </c>
      <c r="K30" s="72">
        <v>24641.8</v>
      </c>
      <c r="L30" s="72">
        <f>K30/(1+0.03)^25</f>
        <v>11769.060916631965</v>
      </c>
      <c r="M30" s="67"/>
      <c r="N30" s="67"/>
      <c r="O30" s="67">
        <v>5944864.8956399998</v>
      </c>
      <c r="P30" s="67">
        <f>O30/(1+0.03)^25</f>
        <v>2839300.5826657992</v>
      </c>
      <c r="Q30" s="74">
        <f>'DIscounting 7%'!Q30</f>
        <v>6520264.9199999999</v>
      </c>
      <c r="R30" s="67">
        <f>Q30/(1+0.03)^25</f>
        <v>3114114.83885343</v>
      </c>
    </row>
    <row r="31" spans="1:18">
      <c r="A31" s="7">
        <v>2049</v>
      </c>
      <c r="B31" s="7">
        <v>27</v>
      </c>
      <c r="C31" s="72">
        <v>-36883.72</v>
      </c>
      <c r="D31" s="72">
        <f>C31/(1+0.03)^26</f>
        <v>-17102.786492318115</v>
      </c>
      <c r="E31" s="72">
        <v>5980680</v>
      </c>
      <c r="F31" s="72">
        <f>E31/(1+0.03)^26</f>
        <v>2773209.7824969147</v>
      </c>
      <c r="G31" s="72">
        <v>3062646</v>
      </c>
      <c r="H31" s="72">
        <f>G31/(1+0.03)^26</f>
        <v>1420132.802210626</v>
      </c>
      <c r="I31" s="72">
        <v>23055.696742073545</v>
      </c>
      <c r="J31" s="72">
        <f>I31/(1+0.03)^26</f>
        <v>10690.805016720607</v>
      </c>
      <c r="K31" s="72">
        <v>24719.7</v>
      </c>
      <c r="L31" s="72">
        <f>K31/(1+0.03)^26</f>
        <v>11462.394553861599</v>
      </c>
      <c r="M31" s="67"/>
      <c r="N31" s="67"/>
      <c r="O31" s="67">
        <v>5944864.8956399998</v>
      </c>
      <c r="P31" s="67">
        <f>O31/(1+0.03)^26</f>
        <v>2756602.5074425228</v>
      </c>
      <c r="Q31" s="74">
        <f>'DIscounting 7%'!Q31</f>
        <v>6520264.9199999999</v>
      </c>
      <c r="R31" s="67">
        <f>Q31/(1+0.03)^26</f>
        <v>3023412.4649062422</v>
      </c>
    </row>
    <row r="32" spans="1:18">
      <c r="A32" s="7">
        <v>2050</v>
      </c>
      <c r="B32" s="7">
        <v>28</v>
      </c>
      <c r="C32" s="72">
        <v>-36883.72</v>
      </c>
      <c r="D32" s="72">
        <f>C32/(1+0.03)^27</f>
        <v>-16604.647079920502</v>
      </c>
      <c r="E32" s="72">
        <v>5980680</v>
      </c>
      <c r="F32" s="72">
        <f>E32/(1+0.03)^27</f>
        <v>2692436.6820358401</v>
      </c>
      <c r="G32" s="72">
        <v>3062646</v>
      </c>
      <c r="H32" s="72">
        <f>G32/(1+0.03)^27</f>
        <v>1378769.7108841031</v>
      </c>
      <c r="I32" s="72">
        <v>23055.696742073545</v>
      </c>
      <c r="J32" s="72">
        <f>I32/(1+0.03)^27</f>
        <v>10379.422346330688</v>
      </c>
      <c r="K32" s="72">
        <v>24875.5</v>
      </c>
      <c r="L32" s="72">
        <f>K32/(1+0.03)^27</f>
        <v>11198.677856695649</v>
      </c>
      <c r="M32" s="67"/>
      <c r="N32" s="67"/>
      <c r="O32" s="67">
        <v>5944864.8956399998</v>
      </c>
      <c r="P32" s="67">
        <f>O32/(1+0.03)^27</f>
        <v>2676313.114021867</v>
      </c>
      <c r="Q32" s="74">
        <f>'DIscounting 7%'!Q32</f>
        <v>6520264.9199999999</v>
      </c>
      <c r="R32" s="67">
        <f>Q32/(1+0.03)^27</f>
        <v>2935351.9076759634</v>
      </c>
    </row>
    <row r="33" spans="1:18">
      <c r="A33" s="7">
        <v>2051</v>
      </c>
      <c r="B33" s="7">
        <v>29</v>
      </c>
      <c r="C33" s="72">
        <v>-36883.72</v>
      </c>
      <c r="D33" s="72">
        <f>C33/(1+0.03)^28</f>
        <v>-16121.01658244709</v>
      </c>
      <c r="E33" s="72">
        <v>5980680</v>
      </c>
      <c r="F33" s="72">
        <f>E33/(1+0.03)^28</f>
        <v>2614016.1961513008</v>
      </c>
      <c r="G33" s="72">
        <v>3062646</v>
      </c>
      <c r="H33" s="72">
        <f>G33/(1+0.03)^28</f>
        <v>1338611.3697903913</v>
      </c>
      <c r="I33" s="72">
        <v>23055.696742073545</v>
      </c>
      <c r="J33" s="72">
        <f>I33/(1+0.03)^28</f>
        <v>10077.109074107464</v>
      </c>
      <c r="K33" s="72">
        <v>24875.5</v>
      </c>
      <c r="L33" s="72">
        <f>K33/(1+0.03)^28</f>
        <v>10872.502773490922</v>
      </c>
      <c r="M33" s="67"/>
      <c r="N33" s="67"/>
      <c r="O33" s="67">
        <v>5944864.8956399998</v>
      </c>
      <c r="P33" s="67">
        <f>O33/(1+0.03)^28</f>
        <v>2598362.246623172</v>
      </c>
      <c r="Q33" s="74">
        <f>'DIscounting 7%'!Q33</f>
        <v>6520264.9199999999</v>
      </c>
      <c r="R33" s="67">
        <f>Q33/(1+0.03)^28</f>
        <v>2849856.2210446247</v>
      </c>
    </row>
    <row r="34" spans="1:18">
      <c r="A34" s="7">
        <v>2052</v>
      </c>
      <c r="B34" s="7">
        <v>30</v>
      </c>
      <c r="C34" s="72">
        <v>-36883.72</v>
      </c>
      <c r="D34" s="72">
        <f>C34/(1+0.03)^29</f>
        <v>-15651.472410142807</v>
      </c>
      <c r="E34" s="72">
        <v>5980680</v>
      </c>
      <c r="F34" s="72">
        <f>E34/(1+0.03)^29</f>
        <v>2537879.802088642</v>
      </c>
      <c r="G34" s="72">
        <v>3062646</v>
      </c>
      <c r="H34" s="72">
        <f>G34/(1+0.03)^29</f>
        <v>1299622.689116885</v>
      </c>
      <c r="I34" s="72">
        <v>23055.696742073545</v>
      </c>
      <c r="J34" s="72">
        <f>I34/(1+0.03)^29</f>
        <v>9783.6010428227819</v>
      </c>
      <c r="K34" s="72">
        <v>24875.5</v>
      </c>
      <c r="L34" s="72">
        <f>K34/(1+0.03)^29</f>
        <v>10555.82793542808</v>
      </c>
      <c r="M34" s="67"/>
      <c r="N34" s="67"/>
      <c r="O34" s="67">
        <v>5944864.8956399998</v>
      </c>
      <c r="P34" s="67">
        <f>O34/(1+0.03)^29</f>
        <v>2522681.7928380314</v>
      </c>
      <c r="Q34" s="74">
        <f>'DIscounting 7%'!Q34</f>
        <v>6520264.9199999999</v>
      </c>
      <c r="R34" s="67">
        <f>Q34/(1+0.03)^29</f>
        <v>2766850.7000433253</v>
      </c>
    </row>
    <row r="35" spans="1:18">
      <c r="A35" s="7">
        <v>2053</v>
      </c>
      <c r="B35" s="7">
        <v>31</v>
      </c>
      <c r="C35" s="72">
        <v>-36883.72</v>
      </c>
      <c r="D35" s="72">
        <f>C35/(1+0.03)^30</f>
        <v>-15195.604281692047</v>
      </c>
      <c r="E35" s="72">
        <v>5980680</v>
      </c>
      <c r="F35" s="72">
        <f>E35/(1+0.03)^30</f>
        <v>2463960.9729015939</v>
      </c>
      <c r="G35" s="72">
        <v>3062646</v>
      </c>
      <c r="H35" s="72">
        <f>G35/(1+0.03)^30</f>
        <v>1261769.6010843543</v>
      </c>
      <c r="I35" s="72">
        <v>23055.696742073545</v>
      </c>
      <c r="J35" s="72">
        <f>I35/(1+0.03)^30</f>
        <v>9498.6417891483325</v>
      </c>
      <c r="K35" s="72">
        <v>24875.5</v>
      </c>
      <c r="L35" s="72">
        <f>K35/(1+0.03)^30</f>
        <v>10248.376636337942</v>
      </c>
      <c r="M35" s="67"/>
      <c r="N35" s="67"/>
      <c r="O35" s="67">
        <v>5944864.8956399998</v>
      </c>
      <c r="P35" s="67">
        <f>O35/(1+0.03)^30</f>
        <v>2449205.6241145935</v>
      </c>
      <c r="Q35" s="74">
        <f>'DIscounting 7%'!Q35</f>
        <v>6520264.9199999999</v>
      </c>
      <c r="R35" s="67">
        <f>Q35/(1+0.03)^30</f>
        <v>2686262.8155760439</v>
      </c>
    </row>
    <row r="36" spans="1:18">
      <c r="A36" s="7">
        <v>2054</v>
      </c>
      <c r="B36" s="7">
        <v>32</v>
      </c>
      <c r="C36" s="72">
        <v>-36883.72</v>
      </c>
      <c r="D36" s="72">
        <f>C36/(1+0.03)^31</f>
        <v>-14753.013865720432</v>
      </c>
      <c r="E36" s="72">
        <v>5980680</v>
      </c>
      <c r="F36" s="72">
        <f>E36/(1+0.03)^31</f>
        <v>2392195.1193219358</v>
      </c>
      <c r="G36" s="72">
        <v>3062646</v>
      </c>
      <c r="H36" s="72">
        <f>G36/(1+0.03)^31</f>
        <v>1225019.0301789844</v>
      </c>
      <c r="I36" s="72">
        <v>23055.696742073545</v>
      </c>
      <c r="J36" s="72">
        <f>I36/(1+0.03)^31</f>
        <v>9221.9823195614863</v>
      </c>
      <c r="K36" s="72">
        <v>24875.5</v>
      </c>
      <c r="L36" s="72">
        <f>K36/(1+0.03)^31</f>
        <v>9949.8802294543111</v>
      </c>
      <c r="M36" s="67"/>
      <c r="N36" s="67"/>
      <c r="O36" s="67">
        <v>5944864.8956399998</v>
      </c>
      <c r="P36" s="67">
        <f>O36/(1+0.03)^31</f>
        <v>2377869.5379753332</v>
      </c>
      <c r="Q36" s="74">
        <f>'DIscounting 7%'!Q36</f>
        <v>6520264.9199999999</v>
      </c>
      <c r="R36" s="67">
        <f>Q36/(1+0.03)^31</f>
        <v>2608022.1510447026</v>
      </c>
    </row>
    <row r="37" spans="1:18">
      <c r="A37" s="7">
        <v>2055</v>
      </c>
      <c r="B37" s="7">
        <v>33</v>
      </c>
      <c r="C37" s="72">
        <v>-36883.72</v>
      </c>
      <c r="D37" s="72">
        <f>C37/(1+0.03)^32</f>
        <v>-14323.314432738285</v>
      </c>
      <c r="E37" s="72">
        <v>5980680</v>
      </c>
      <c r="F37" s="72">
        <f>E37/(1+0.03)^32</f>
        <v>2322519.5333222682</v>
      </c>
      <c r="G37" s="72">
        <v>3062646</v>
      </c>
      <c r="H37" s="72">
        <f>G37/(1+0.03)^32</f>
        <v>1189338.8642514416</v>
      </c>
      <c r="I37" s="72">
        <v>23055.696742073545</v>
      </c>
      <c r="J37" s="72">
        <f>I37/(1+0.03)^32</f>
        <v>8953.3808927781429</v>
      </c>
      <c r="K37" s="72">
        <v>24875.5</v>
      </c>
      <c r="L37" s="72">
        <f>K37/(1+0.03)^32</f>
        <v>9660.0778926740913</v>
      </c>
      <c r="M37" s="67"/>
      <c r="N37" s="67"/>
      <c r="O37" s="67">
        <v>5944864.8956399998</v>
      </c>
      <c r="P37" s="67">
        <f>O37/(1+0.03)^32</f>
        <v>2308611.2019177997</v>
      </c>
      <c r="Q37" s="74">
        <f>'DIscounting 7%'!Q37</f>
        <v>6520264.9199999999</v>
      </c>
      <c r="R37" s="67">
        <f>Q37/(1+0.03)^32</f>
        <v>2532060.3408201002</v>
      </c>
    </row>
    <row r="38" spans="1:18">
      <c r="A38" s="48" t="s">
        <v>186</v>
      </c>
      <c r="B38" s="48">
        <v>34</v>
      </c>
      <c r="C38" s="72">
        <v>-15368.22</v>
      </c>
      <c r="D38" s="72">
        <f>C38/(1+0.03)^33</f>
        <v>-5794.2223055965032</v>
      </c>
      <c r="E38" s="72">
        <f>5980680*0.416666667</f>
        <v>2491950.0019935598</v>
      </c>
      <c r="F38" s="72">
        <f>E38/(1+0.03)^33</f>
        <v>939530.55630270368</v>
      </c>
      <c r="G38" s="72">
        <f>3062646*0.416666667</f>
        <v>1276102.501020882</v>
      </c>
      <c r="H38" s="72">
        <f>G38/(1+0.03)^33</f>
        <v>481124.1364089452</v>
      </c>
      <c r="I38" s="72">
        <f>23055.6967420735*0.416666667</f>
        <v>9606.5403168825251</v>
      </c>
      <c r="J38" s="72">
        <f>I38/(1+0.03)^33</f>
        <v>3621.9178397818896</v>
      </c>
      <c r="K38" s="67">
        <v>10364.791666666666</v>
      </c>
      <c r="L38" s="67">
        <f>K38/(1+0.03)^33</f>
        <v>3907.79850027269</v>
      </c>
      <c r="M38" s="94">
        <f>(D39*0.5)*-1</f>
        <v>79798108.484181836</v>
      </c>
      <c r="N38" s="67">
        <f>M38/(1+0.03)^33</f>
        <v>30085981.338336907</v>
      </c>
      <c r="O38" s="68">
        <v>2477027.0418316214</v>
      </c>
      <c r="P38" s="69">
        <f>O38/(1+0.03)^33</f>
        <v>933904.20864267333</v>
      </c>
      <c r="Q38" s="74">
        <f>'DIscounting 7%'!Q38</f>
        <v>2716777.0521734217</v>
      </c>
      <c r="R38" s="74">
        <f>Q38/(1+0.03)^33</f>
        <v>1024296.2551965001</v>
      </c>
    </row>
    <row r="39" spans="1:18" s="2" customFormat="1">
      <c r="A39" s="8" t="s">
        <v>60</v>
      </c>
      <c r="B39" s="8"/>
      <c r="C39" s="83">
        <f>SUM(C4:C38)</f>
        <v>-166759946.46911997</v>
      </c>
      <c r="D39" s="83">
        <f>SUM(D4:D38)</f>
        <v>-159596216.96836367</v>
      </c>
      <c r="E39" s="76">
        <f t="shared" ref="E39:L39" si="0">SUM(E8:E38)</f>
        <v>179420400</v>
      </c>
      <c r="F39" s="83">
        <f t="shared" si="0"/>
        <v>109153875.58031307</v>
      </c>
      <c r="G39" s="76">
        <f t="shared" si="0"/>
        <v>91879380</v>
      </c>
      <c r="H39" s="83">
        <f t="shared" si="0"/>
        <v>55896600.45856718</v>
      </c>
      <c r="I39" s="76">
        <f t="shared" si="0"/>
        <v>691670.90226220584</v>
      </c>
      <c r="J39" s="83">
        <f t="shared" si="0"/>
        <v>420791.39054450754</v>
      </c>
      <c r="K39" s="76">
        <f t="shared" si="0"/>
        <v>716811.29999999993</v>
      </c>
      <c r="L39" s="76">
        <f t="shared" si="0"/>
        <v>432041.8661368289</v>
      </c>
      <c r="M39" s="83">
        <f>SUM(M38)</f>
        <v>79798108.484181836</v>
      </c>
      <c r="N39" s="83">
        <f>SUM(N38)</f>
        <v>30085981.338336907</v>
      </c>
      <c r="O39" s="96">
        <f>SUM(O4:O38)</f>
        <v>178345946.8691999</v>
      </c>
      <c r="P39" s="96">
        <f>SUM(P4:P38)</f>
        <v>108500211.20682921</v>
      </c>
      <c r="Q39" s="83">
        <f>SUM(Q8:Q38)</f>
        <v>195607947.59999993</v>
      </c>
      <c r="R39" s="83">
        <f>SUM(R8:R38)</f>
        <v>119001883.70358555</v>
      </c>
    </row>
  </sheetData>
  <mergeCells count="1">
    <mergeCell ref="Q2:R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6A15F-A769-47BF-9E54-84D56157E552}">
  <sheetPr>
    <tabColor rgb="FFFFC000"/>
  </sheetPr>
  <dimension ref="A2:D28"/>
  <sheetViews>
    <sheetView tabSelected="1" zoomScale="90" zoomScaleNormal="90" workbookViewId="0">
      <selection activeCell="I29" sqref="I29"/>
    </sheetView>
  </sheetViews>
  <sheetFormatPr defaultRowHeight="14.45"/>
  <cols>
    <col min="1" max="1" width="35.85546875" customWidth="1"/>
    <col min="2" max="2" width="17.28515625" customWidth="1"/>
    <col min="3" max="3" width="18.140625" customWidth="1"/>
    <col min="4" max="4" width="17.28515625" bestFit="1" customWidth="1"/>
    <col min="6" max="6" width="12.42578125" customWidth="1"/>
    <col min="7" max="7" width="13.42578125" customWidth="1"/>
    <col min="11" max="11" width="19.42578125" customWidth="1"/>
  </cols>
  <sheetData>
    <row r="2" spans="1:4">
      <c r="A2" s="8" t="s">
        <v>216</v>
      </c>
      <c r="B2" s="120" t="s">
        <v>66</v>
      </c>
      <c r="C2" s="120" t="s">
        <v>200</v>
      </c>
      <c r="D2" s="120" t="s">
        <v>201</v>
      </c>
    </row>
    <row r="3" spans="1:4">
      <c r="A3" s="118" t="s">
        <v>208</v>
      </c>
      <c r="B3" s="11">
        <f>'DIscounting 7%'!O39</f>
        <v>178345946.8691999</v>
      </c>
      <c r="C3" s="11">
        <f>'DIscounting 7%'!P39</f>
        <v>62677270.359137617</v>
      </c>
      <c r="D3" s="17">
        <f>'Disc 3%'!P39</f>
        <v>108500211.20682921</v>
      </c>
    </row>
    <row r="4" spans="1:4">
      <c r="A4" s="118" t="s">
        <v>37</v>
      </c>
      <c r="B4" s="11">
        <f>'DIscounting 7%'!E39</f>
        <v>179420400</v>
      </c>
      <c r="C4" s="11">
        <f>'DIscounting 7%'!F39</f>
        <v>54567994.0343972</v>
      </c>
      <c r="D4" s="17">
        <f>'Disc 3%'!F39</f>
        <v>109153875.58031307</v>
      </c>
    </row>
    <row r="5" spans="1:4">
      <c r="A5" s="118" t="s">
        <v>217</v>
      </c>
      <c r="B5" s="11">
        <f>'DIscounting 7%'!G39</f>
        <v>91879380</v>
      </c>
      <c r="C5" s="11">
        <f>'DIscounting 7%'!H39</f>
        <v>32289765.154648814</v>
      </c>
      <c r="D5" s="17">
        <f>'Disc 3%'!H39</f>
        <v>55896600.45856718</v>
      </c>
    </row>
    <row r="6" spans="1:4">
      <c r="A6" s="118" t="s">
        <v>206</v>
      </c>
      <c r="B6" s="11">
        <f>'DIscounting 7%'!I39</f>
        <v>691670.90226220584</v>
      </c>
      <c r="C6" s="11">
        <f>'DIscounting 7%'!J39</f>
        <v>243078.38166028864</v>
      </c>
      <c r="D6" s="17">
        <f>'Disc 3%'!J39</f>
        <v>420791.39054450754</v>
      </c>
    </row>
    <row r="7" spans="1:4">
      <c r="A7" s="119" t="s">
        <v>214</v>
      </c>
      <c r="B7" s="121">
        <f>'DIscounting 7%'!K39</f>
        <v>716811.29999999993</v>
      </c>
      <c r="C7" s="121">
        <f>'DIscounting 7%'!L39</f>
        <v>211460.60706938972</v>
      </c>
      <c r="D7" s="121">
        <f>'Disc 3%'!L39</f>
        <v>432041.8661368289</v>
      </c>
    </row>
    <row r="8" spans="1:4">
      <c r="A8" s="118" t="s">
        <v>196</v>
      </c>
      <c r="B8" s="17">
        <f>'DIscounting 7%'!M39</f>
        <v>75607487.280235037</v>
      </c>
      <c r="C8" s="17">
        <f>'DIscounting 7%'!N39</f>
        <v>8107746.1275292328</v>
      </c>
      <c r="D8" s="17">
        <f>'Disc 3%'!N39</f>
        <v>30085981.338336907</v>
      </c>
    </row>
    <row r="9" spans="1:4">
      <c r="A9" s="118" t="s">
        <v>70</v>
      </c>
      <c r="B9" s="17">
        <f>'DIscounting 7%'!Q39</f>
        <v>195607947.59999993</v>
      </c>
      <c r="C9" s="11">
        <f>'DIscounting 7%'!R39</f>
        <v>68743766.995237127</v>
      </c>
      <c r="D9" s="17">
        <f>'Disc 3%'!R39</f>
        <v>119001883.70358555</v>
      </c>
    </row>
    <row r="10" spans="1:4">
      <c r="A10" s="49" t="s">
        <v>135</v>
      </c>
      <c r="B10" s="22">
        <f>SUM(B3:B9)</f>
        <v>722269643.95169711</v>
      </c>
      <c r="C10" s="22">
        <f>SUM(C3:C9)</f>
        <v>226841081.65967965</v>
      </c>
      <c r="D10" s="21">
        <f>SUM(D3:D9)</f>
        <v>423491385.54431331</v>
      </c>
    </row>
    <row r="13" spans="1:4">
      <c r="A13" s="8" t="s">
        <v>218</v>
      </c>
      <c r="B13" s="120" t="s">
        <v>66</v>
      </c>
      <c r="C13" s="120" t="s">
        <v>200</v>
      </c>
      <c r="D13" s="120" t="s">
        <v>201</v>
      </c>
    </row>
    <row r="14" spans="1:4">
      <c r="A14" s="118" t="s">
        <v>204</v>
      </c>
      <c r="B14" s="11">
        <f>-1*'DIscounting 7%'!C39</f>
        <v>166759946.46911997</v>
      </c>
      <c r="C14" s="11">
        <f>-1*'DIscounting 7%'!D39</f>
        <v>151214974.56047007</v>
      </c>
      <c r="D14" s="23">
        <f>'Disc 3%'!D39</f>
        <v>-159596216.96836367</v>
      </c>
    </row>
    <row r="17" spans="1:4">
      <c r="A17" s="123" t="s">
        <v>161</v>
      </c>
      <c r="B17" s="124" t="s">
        <v>66</v>
      </c>
      <c r="C17" s="124" t="s">
        <v>200</v>
      </c>
      <c r="D17" s="124" t="s">
        <v>201</v>
      </c>
    </row>
    <row r="18" spans="1:4">
      <c r="A18" s="118" t="s">
        <v>219</v>
      </c>
      <c r="B18" s="22">
        <f>B10</f>
        <v>722269643.95169711</v>
      </c>
      <c r="C18" s="11">
        <f>C10</f>
        <v>226841081.65967965</v>
      </c>
      <c r="D18" s="17">
        <f>D10</f>
        <v>423491385.54431331</v>
      </c>
    </row>
    <row r="19" spans="1:4">
      <c r="A19" s="118" t="s">
        <v>220</v>
      </c>
      <c r="B19" s="22">
        <f>B14</f>
        <v>166759946.46911997</v>
      </c>
      <c r="C19" s="11">
        <f>C14</f>
        <v>151214974.56047007</v>
      </c>
      <c r="D19" s="17">
        <f>-1*D14</f>
        <v>159596216.96836367</v>
      </c>
    </row>
    <row r="20" spans="1:4">
      <c r="A20" s="8" t="s">
        <v>221</v>
      </c>
      <c r="B20" s="122">
        <f>B18/B19</f>
        <v>4.3311937863055414</v>
      </c>
      <c r="C20" s="122">
        <f>C18/C14</f>
        <v>1.5001231347558577</v>
      </c>
      <c r="D20" s="122">
        <f>D18/D19</f>
        <v>2.6535176935193951</v>
      </c>
    </row>
    <row r="21" spans="1:4">
      <c r="C21" s="125"/>
    </row>
    <row r="22" spans="1:4">
      <c r="B22" s="3"/>
    </row>
    <row r="23" spans="1:4">
      <c r="A23" s="8" t="s">
        <v>222</v>
      </c>
      <c r="B23" s="22">
        <f>B18-B19</f>
        <v>555509697.48257709</v>
      </c>
      <c r="C23" s="22">
        <f>C18-C19</f>
        <v>75626107.099209577</v>
      </c>
      <c r="D23" s="22">
        <f>D18-D19</f>
        <v>263895168.57594964</v>
      </c>
    </row>
    <row r="27" spans="1:4">
      <c r="C27" s="3"/>
    </row>
    <row r="28" spans="1:4">
      <c r="C28"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310A-BBF0-4AFF-8425-3D17AE7B93F1}">
  <sheetPr>
    <tabColor rgb="FFFFC000"/>
  </sheetPr>
  <dimension ref="A2:H19"/>
  <sheetViews>
    <sheetView workbookViewId="0">
      <selection activeCell="D27" sqref="D27"/>
    </sheetView>
  </sheetViews>
  <sheetFormatPr defaultRowHeight="14.45"/>
  <cols>
    <col min="1" max="1" width="19.7109375" customWidth="1"/>
    <col min="2" max="2" width="21" bestFit="1" customWidth="1"/>
    <col min="3" max="3" width="27.28515625" customWidth="1"/>
    <col min="4" max="4" width="10.42578125" bestFit="1" customWidth="1"/>
    <col min="5" max="5" width="10.28515625" bestFit="1" customWidth="1"/>
    <col min="6" max="6" width="10.5703125" bestFit="1" customWidth="1"/>
    <col min="8" max="8" width="22" customWidth="1"/>
  </cols>
  <sheetData>
    <row r="2" spans="1:8">
      <c r="A2" s="2" t="s">
        <v>21</v>
      </c>
    </row>
    <row r="3" spans="1:8">
      <c r="A3" s="14" t="s">
        <v>22</v>
      </c>
      <c r="B3" s="14" t="s">
        <v>23</v>
      </c>
      <c r="C3" s="8" t="s">
        <v>24</v>
      </c>
      <c r="D3" s="8" t="s">
        <v>25</v>
      </c>
      <c r="E3" s="8" t="s">
        <v>26</v>
      </c>
      <c r="F3" s="8" t="s">
        <v>27</v>
      </c>
    </row>
    <row r="4" spans="1:8">
      <c r="A4" s="128" t="s">
        <v>28</v>
      </c>
      <c r="B4" s="109" t="s">
        <v>29</v>
      </c>
      <c r="C4" s="99" t="s">
        <v>30</v>
      </c>
      <c r="D4" s="110" t="s">
        <v>31</v>
      </c>
      <c r="E4" s="110"/>
      <c r="F4" s="110"/>
    </row>
    <row r="5" spans="1:8" ht="28.9">
      <c r="A5" s="129"/>
      <c r="B5" s="109" t="s">
        <v>32</v>
      </c>
      <c r="C5" s="24" t="s">
        <v>33</v>
      </c>
      <c r="D5" s="110" t="s">
        <v>31</v>
      </c>
      <c r="E5" s="110"/>
      <c r="F5" s="110"/>
      <c r="H5" s="6"/>
    </row>
    <row r="6" spans="1:8">
      <c r="A6" s="129"/>
      <c r="B6" s="109" t="s">
        <v>34</v>
      </c>
      <c r="C6" s="99" t="s">
        <v>30</v>
      </c>
      <c r="D6" s="110" t="s">
        <v>31</v>
      </c>
      <c r="E6" s="110"/>
      <c r="F6" s="110"/>
    </row>
    <row r="7" spans="1:8" ht="28.9">
      <c r="A7" s="130"/>
      <c r="B7" s="109" t="s">
        <v>35</v>
      </c>
      <c r="C7" s="99" t="s">
        <v>36</v>
      </c>
      <c r="D7" s="110" t="s">
        <v>31</v>
      </c>
      <c r="E7" s="110"/>
      <c r="F7" s="110"/>
    </row>
    <row r="8" spans="1:8">
      <c r="A8" s="131" t="s">
        <v>37</v>
      </c>
      <c r="B8" s="109" t="s">
        <v>38</v>
      </c>
      <c r="C8" s="99" t="s">
        <v>39</v>
      </c>
      <c r="D8" s="110" t="s">
        <v>31</v>
      </c>
      <c r="E8" s="110"/>
      <c r="F8" s="110"/>
    </row>
    <row r="9" spans="1:8">
      <c r="A9" s="132"/>
      <c r="B9" s="109" t="s">
        <v>40</v>
      </c>
      <c r="C9" s="99" t="s">
        <v>39</v>
      </c>
      <c r="D9" s="110" t="s">
        <v>31</v>
      </c>
      <c r="E9" s="110"/>
      <c r="F9" s="110"/>
    </row>
    <row r="10" spans="1:8">
      <c r="A10" s="133"/>
      <c r="B10" s="109" t="s">
        <v>41</v>
      </c>
      <c r="C10" s="99" t="s">
        <v>39</v>
      </c>
      <c r="D10" s="110" t="s">
        <v>31</v>
      </c>
      <c r="E10" s="110"/>
      <c r="F10" s="110"/>
    </row>
    <row r="11" spans="1:8" ht="15.6">
      <c r="A11" s="128" t="s">
        <v>42</v>
      </c>
      <c r="B11" s="109" t="s">
        <v>43</v>
      </c>
      <c r="C11" s="99" t="s">
        <v>44</v>
      </c>
      <c r="D11" s="110" t="s">
        <v>31</v>
      </c>
      <c r="E11" s="110"/>
      <c r="F11" s="110"/>
    </row>
    <row r="12" spans="1:8">
      <c r="A12" s="129"/>
      <c r="B12" s="109" t="s">
        <v>45</v>
      </c>
      <c r="C12" s="99" t="s">
        <v>46</v>
      </c>
      <c r="D12" s="110"/>
      <c r="E12" s="110"/>
      <c r="F12" s="110"/>
      <c r="H12" s="6"/>
    </row>
    <row r="13" spans="1:8">
      <c r="A13" s="129"/>
      <c r="B13" s="109" t="s">
        <v>47</v>
      </c>
      <c r="C13" s="99" t="s">
        <v>46</v>
      </c>
      <c r="D13" s="110"/>
      <c r="E13" s="110"/>
      <c r="F13" s="110"/>
      <c r="H13" s="6"/>
    </row>
    <row r="14" spans="1:8">
      <c r="A14" s="134" t="s">
        <v>48</v>
      </c>
      <c r="B14" s="109" t="s">
        <v>49</v>
      </c>
      <c r="C14" s="99" t="s">
        <v>50</v>
      </c>
      <c r="D14" s="99"/>
      <c r="E14" s="99"/>
      <c r="F14" s="110" t="s">
        <v>31</v>
      </c>
      <c r="H14" s="6"/>
    </row>
    <row r="15" spans="1:8">
      <c r="A15" s="129"/>
      <c r="B15" s="109" t="s">
        <v>51</v>
      </c>
      <c r="C15" s="99" t="s">
        <v>46</v>
      </c>
      <c r="D15" s="99"/>
      <c r="E15" s="99"/>
      <c r="F15" s="99"/>
      <c r="H15" s="6"/>
    </row>
    <row r="16" spans="1:8">
      <c r="A16" s="130"/>
      <c r="B16" s="109" t="s">
        <v>52</v>
      </c>
      <c r="C16" s="99" t="s">
        <v>46</v>
      </c>
      <c r="D16" s="99"/>
      <c r="E16" s="99"/>
      <c r="F16" s="99"/>
      <c r="H16" s="6"/>
    </row>
    <row r="17" spans="1:6">
      <c r="A17" s="135" t="s">
        <v>53</v>
      </c>
      <c r="B17" s="109" t="s">
        <v>54</v>
      </c>
      <c r="C17" s="99" t="s">
        <v>46</v>
      </c>
      <c r="D17" s="99"/>
      <c r="E17" s="99"/>
      <c r="F17" s="110"/>
    </row>
    <row r="18" spans="1:6">
      <c r="A18" s="136"/>
      <c r="B18" s="109" t="s">
        <v>55</v>
      </c>
      <c r="C18" s="99" t="s">
        <v>46</v>
      </c>
      <c r="D18" s="99"/>
      <c r="E18" s="99"/>
      <c r="F18" s="99"/>
    </row>
    <row r="19" spans="1:6">
      <c r="A19" s="136"/>
      <c r="B19" s="109" t="s">
        <v>56</v>
      </c>
      <c r="C19" s="99" t="s">
        <v>50</v>
      </c>
      <c r="D19" s="99"/>
      <c r="E19" s="99"/>
      <c r="F19" s="110" t="s">
        <v>31</v>
      </c>
    </row>
  </sheetData>
  <mergeCells count="5">
    <mergeCell ref="A4:A7"/>
    <mergeCell ref="A8:A10"/>
    <mergeCell ref="A14:A16"/>
    <mergeCell ref="A17:A19"/>
    <mergeCell ref="A11:A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44F9-1365-43DB-A0EB-111DB31154D4}">
  <sheetPr>
    <tabColor rgb="FFFFC000"/>
  </sheetPr>
  <dimension ref="A2:J27"/>
  <sheetViews>
    <sheetView workbookViewId="0">
      <selection activeCell="E29" sqref="E29"/>
    </sheetView>
  </sheetViews>
  <sheetFormatPr defaultRowHeight="14.45"/>
  <cols>
    <col min="1" max="1" width="38.7109375" customWidth="1"/>
    <col min="2" max="2" width="5.5703125" bestFit="1" customWidth="1"/>
    <col min="3" max="3" width="13.85546875" bestFit="1" customWidth="1"/>
    <col min="4" max="4" width="15.140625" bestFit="1" customWidth="1"/>
    <col min="5" max="5" width="54.42578125" bestFit="1" customWidth="1"/>
    <col min="7" max="7" width="12.7109375" bestFit="1" customWidth="1"/>
    <col min="8" max="8" width="15.85546875" bestFit="1" customWidth="1"/>
    <col min="9" max="9" width="14.85546875" bestFit="1" customWidth="1"/>
    <col min="10" max="10" width="15.85546875" bestFit="1" customWidth="1"/>
  </cols>
  <sheetData>
    <row r="2" spans="1:10">
      <c r="A2" s="111" t="s">
        <v>57</v>
      </c>
      <c r="B2" s="101" t="s">
        <v>58</v>
      </c>
      <c r="C2" s="101" t="s">
        <v>59</v>
      </c>
      <c r="D2" s="101" t="s">
        <v>60</v>
      </c>
      <c r="E2" s="101" t="s">
        <v>61</v>
      </c>
      <c r="G2" s="157" t="s">
        <v>62</v>
      </c>
      <c r="H2" s="135" t="s">
        <v>63</v>
      </c>
      <c r="I2" s="136"/>
      <c r="J2" s="136"/>
    </row>
    <row r="3" spans="1:10">
      <c r="A3" s="112" t="s">
        <v>64</v>
      </c>
      <c r="B3" s="63">
        <v>42</v>
      </c>
      <c r="C3" s="10">
        <v>19089</v>
      </c>
      <c r="D3" s="102">
        <f>B3*C3</f>
        <v>801738</v>
      </c>
      <c r="E3" s="7" t="s">
        <v>65</v>
      </c>
      <c r="G3" s="158"/>
      <c r="H3" s="8" t="s">
        <v>66</v>
      </c>
      <c r="I3" s="8" t="s">
        <v>67</v>
      </c>
      <c r="J3" s="8" t="s">
        <v>68</v>
      </c>
    </row>
    <row r="4" spans="1:10">
      <c r="A4" s="112" t="s">
        <v>69</v>
      </c>
      <c r="B4" s="63">
        <v>20</v>
      </c>
      <c r="C4" s="10">
        <v>19089</v>
      </c>
      <c r="D4" s="102">
        <f t="shared" ref="D4:D6" si="0">B4*C4</f>
        <v>381780</v>
      </c>
      <c r="E4" s="7" t="s">
        <v>65</v>
      </c>
      <c r="G4" s="8" t="s">
        <v>70</v>
      </c>
      <c r="H4" s="10">
        <f>'DIscounting 7%'!Q39</f>
        <v>195607947.59999993</v>
      </c>
      <c r="I4" s="10">
        <f>'DIscounting 7%'!R39</f>
        <v>68743766.995237127</v>
      </c>
      <c r="J4" s="17">
        <f>'Disc 3%'!$R$39</f>
        <v>119001883.70358555</v>
      </c>
    </row>
    <row r="5" spans="1:10">
      <c r="A5" s="112" t="s">
        <v>71</v>
      </c>
      <c r="B5" s="63">
        <v>18</v>
      </c>
      <c r="C5" s="10">
        <v>1327000</v>
      </c>
      <c r="D5" s="102">
        <f t="shared" si="0"/>
        <v>23886000</v>
      </c>
      <c r="E5" s="7" t="s">
        <v>65</v>
      </c>
    </row>
    <row r="6" spans="1:10" ht="28.9">
      <c r="A6" s="113" t="s">
        <v>72</v>
      </c>
      <c r="B6" s="63">
        <v>1</v>
      </c>
      <c r="C6" s="10">
        <v>8424</v>
      </c>
      <c r="D6" s="102">
        <f t="shared" si="0"/>
        <v>8424</v>
      </c>
      <c r="E6" s="7" t="s">
        <v>73</v>
      </c>
    </row>
    <row r="7" spans="1:10">
      <c r="A7" s="137" t="s">
        <v>74</v>
      </c>
      <c r="B7" s="138"/>
      <c r="C7" s="139"/>
      <c r="D7" s="103">
        <f>SUM(D3:D6)</f>
        <v>25077942</v>
      </c>
      <c r="E7" s="7" t="s">
        <v>75</v>
      </c>
    </row>
    <row r="8" spans="1:10">
      <c r="A8" s="157" t="s">
        <v>76</v>
      </c>
      <c r="B8" s="158"/>
      <c r="C8" s="107">
        <v>0.26</v>
      </c>
      <c r="D8" s="103">
        <f>D7*0.26</f>
        <v>6520264.9199999999</v>
      </c>
      <c r="E8" s="7" t="s">
        <v>77</v>
      </c>
    </row>
    <row r="9" spans="1:10">
      <c r="C9" s="106"/>
      <c r="D9" s="100"/>
      <c r="G9" s="13"/>
      <c r="H9" s="13"/>
    </row>
    <row r="10" spans="1:10">
      <c r="C10" s="12"/>
      <c r="D10" s="100"/>
    </row>
    <row r="11" spans="1:10">
      <c r="C11" s="12"/>
      <c r="D11" s="100"/>
    </row>
    <row r="12" spans="1:10">
      <c r="A12" s="104" t="s">
        <v>78</v>
      </c>
      <c r="B12" s="104"/>
      <c r="C12" s="12"/>
    </row>
    <row r="13" spans="1:10">
      <c r="A13" s="105">
        <v>234000</v>
      </c>
      <c r="B13" s="140" t="s">
        <v>79</v>
      </c>
      <c r="C13" s="140"/>
      <c r="D13" s="140"/>
    </row>
    <row r="14" spans="1:10">
      <c r="A14" s="7">
        <v>0.36</v>
      </c>
      <c r="B14" s="140" t="s">
        <v>80</v>
      </c>
      <c r="C14" s="140"/>
      <c r="D14" s="140"/>
    </row>
    <row r="15" spans="1:10">
      <c r="A15" s="7">
        <v>0.1</v>
      </c>
      <c r="B15" s="140" t="s">
        <v>81</v>
      </c>
      <c r="C15" s="140"/>
      <c r="D15" s="140"/>
    </row>
    <row r="16" spans="1:10">
      <c r="A16" s="10">
        <f>A15*A14*A13</f>
        <v>8424</v>
      </c>
      <c r="B16" s="140"/>
      <c r="C16" s="140"/>
      <c r="D16" s="140"/>
    </row>
    <row r="20" spans="1:4">
      <c r="A20" s="141" t="s">
        <v>82</v>
      </c>
      <c r="B20" s="141"/>
      <c r="C20" s="141"/>
      <c r="D20" s="141"/>
    </row>
    <row r="21" spans="1:4">
      <c r="A21" s="141"/>
      <c r="B21" s="141"/>
      <c r="C21" s="141"/>
      <c r="D21" s="141"/>
    </row>
    <row r="22" spans="1:4">
      <c r="A22" s="141"/>
      <c r="B22" s="141"/>
      <c r="C22" s="141"/>
      <c r="D22" s="141"/>
    </row>
    <row r="23" spans="1:4">
      <c r="A23" s="141"/>
      <c r="B23" s="141"/>
      <c r="C23" s="141"/>
      <c r="D23" s="141"/>
    </row>
    <row r="24" spans="1:4">
      <c r="A24" s="141"/>
      <c r="B24" s="141"/>
      <c r="C24" s="141"/>
      <c r="D24" s="141"/>
    </row>
    <row r="25" spans="1:4">
      <c r="A25" s="141"/>
      <c r="B25" s="141"/>
      <c r="C25" s="141"/>
      <c r="D25" s="141"/>
    </row>
    <row r="26" spans="1:4">
      <c r="A26" s="141"/>
      <c r="B26" s="141"/>
      <c r="C26" s="141"/>
      <c r="D26" s="141"/>
    </row>
    <row r="27" spans="1:4">
      <c r="A27" s="141"/>
      <c r="B27" s="141"/>
      <c r="C27" s="141"/>
      <c r="D27" s="141"/>
    </row>
  </sheetData>
  <mergeCells count="9">
    <mergeCell ref="B15:D15"/>
    <mergeCell ref="B16:D16"/>
    <mergeCell ref="A20:D27"/>
    <mergeCell ref="A8:B8"/>
    <mergeCell ref="G2:G3"/>
    <mergeCell ref="H2:J2"/>
    <mergeCell ref="A7:C7"/>
    <mergeCell ref="B13:D13"/>
    <mergeCell ref="B14:D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AC8BE-9796-4891-875B-108ABBFEE539}">
  <sheetPr>
    <tabColor rgb="FFFFC000"/>
  </sheetPr>
  <dimension ref="A1:G43"/>
  <sheetViews>
    <sheetView zoomScale="130" zoomScaleNormal="130" workbookViewId="0">
      <selection activeCell="B20" sqref="B20"/>
    </sheetView>
  </sheetViews>
  <sheetFormatPr defaultRowHeight="14.45"/>
  <cols>
    <col min="1" max="1" width="27.7109375" customWidth="1"/>
    <col min="2" max="2" width="18.140625" customWidth="1"/>
    <col min="3" max="3" width="15.7109375" bestFit="1" customWidth="1"/>
    <col min="4" max="4" width="16.7109375" bestFit="1" customWidth="1"/>
  </cols>
  <sheetData>
    <row r="1" spans="1:4">
      <c r="A1" s="2" t="s">
        <v>83</v>
      </c>
    </row>
    <row r="2" spans="1:4">
      <c r="A2" s="2"/>
    </row>
    <row r="3" spans="1:4">
      <c r="A3" s="159" t="s">
        <v>62</v>
      </c>
      <c r="B3" s="135" t="s">
        <v>84</v>
      </c>
      <c r="C3" s="136"/>
      <c r="D3" s="136"/>
    </row>
    <row r="4" spans="1:4">
      <c r="A4" s="160"/>
      <c r="B4" s="8" t="s">
        <v>66</v>
      </c>
      <c r="C4" s="8" t="s">
        <v>67</v>
      </c>
      <c r="D4" s="8" t="s">
        <v>68</v>
      </c>
    </row>
    <row r="5" spans="1:4">
      <c r="A5" s="7" t="s">
        <v>85</v>
      </c>
      <c r="B5" s="98">
        <f>'DIscounting 7%'!O39</f>
        <v>178345946.8691999</v>
      </c>
      <c r="C5" s="98">
        <f>'DIscounting 7%'!P39</f>
        <v>62677270.359137617</v>
      </c>
      <c r="D5" s="17">
        <f>'Disc 3%'!P39</f>
        <v>108500211.20682921</v>
      </c>
    </row>
    <row r="6" spans="1:4">
      <c r="A6" s="7" t="str">
        <f>'Flood Benefits'!G4</f>
        <v>Flood Savings</v>
      </c>
      <c r="B6" s="98">
        <f>'Flood Benefits'!H4</f>
        <v>195607947.59999993</v>
      </c>
      <c r="C6" s="98">
        <f>'Flood Benefits'!I4</f>
        <v>68743766.995237127</v>
      </c>
      <c r="D6" s="17">
        <f>'Flood Benefits'!J4</f>
        <v>119001883.70358555</v>
      </c>
    </row>
    <row r="7" spans="1:4">
      <c r="A7" s="7" t="s">
        <v>86</v>
      </c>
      <c r="B7" s="98">
        <f>'DIscounting 7%'!G39</f>
        <v>91879380</v>
      </c>
      <c r="C7" s="98">
        <f>'DIscounting 7%'!H39</f>
        <v>32289765.154648814</v>
      </c>
      <c r="D7" s="17">
        <f>'Disc 3%'!H39</f>
        <v>55896600.45856718</v>
      </c>
    </row>
    <row r="8" spans="1:4">
      <c r="A8" s="7" t="s">
        <v>87</v>
      </c>
      <c r="B8" s="98">
        <f>'DIscounting 7%'!I39</f>
        <v>691670.90226220584</v>
      </c>
      <c r="C8" s="98">
        <f>'DIscounting 7%'!J39</f>
        <v>243078.38166028864</v>
      </c>
      <c r="D8" s="17">
        <f>'Disc 3%'!J39</f>
        <v>420791.39054450754</v>
      </c>
    </row>
    <row r="39" spans="7:7">
      <c r="G39" s="30" t="s">
        <v>88</v>
      </c>
    </row>
    <row r="40" spans="7:7">
      <c r="G40" s="31" t="s">
        <v>89</v>
      </c>
    </row>
    <row r="41" spans="7:7">
      <c r="G41" s="32" t="s">
        <v>90</v>
      </c>
    </row>
    <row r="42" spans="7:7">
      <c r="G42" s="32" t="s">
        <v>91</v>
      </c>
    </row>
    <row r="43" spans="7:7">
      <c r="G43" s="32" t="s">
        <v>92</v>
      </c>
    </row>
  </sheetData>
  <mergeCells count="2">
    <mergeCell ref="A3:A4"/>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0D6F4-1A49-486A-B42A-EFF78A020DA7}">
  <sheetPr>
    <tabColor rgb="FFFFC000"/>
  </sheetPr>
  <dimension ref="A1:K20"/>
  <sheetViews>
    <sheetView workbookViewId="0">
      <selection activeCell="A10" sqref="A10:D12"/>
    </sheetView>
  </sheetViews>
  <sheetFormatPr defaultRowHeight="14.45"/>
  <cols>
    <col min="1" max="1" width="28.28515625" customWidth="1"/>
    <col min="2" max="2" width="17.140625" customWidth="1"/>
    <col min="3" max="3" width="16.28515625" bestFit="1" customWidth="1"/>
    <col min="4" max="4" width="17.7109375" bestFit="1" customWidth="1"/>
    <col min="5" max="5" width="19.5703125" bestFit="1" customWidth="1"/>
    <col min="6" max="6" width="13.85546875" bestFit="1" customWidth="1"/>
    <col min="9" max="9" width="22.42578125" customWidth="1"/>
    <col min="10" max="10" width="11.7109375" customWidth="1"/>
    <col min="11" max="11" width="24.28515625" bestFit="1" customWidth="1"/>
  </cols>
  <sheetData>
    <row r="1" spans="1:11">
      <c r="A1" s="2" t="s">
        <v>29</v>
      </c>
      <c r="I1" s="2" t="s">
        <v>93</v>
      </c>
    </row>
    <row r="2" spans="1:11">
      <c r="I2" s="2" t="s">
        <v>94</v>
      </c>
    </row>
    <row r="3" spans="1:11">
      <c r="A3" s="161" t="s">
        <v>95</v>
      </c>
      <c r="B3" s="162"/>
      <c r="C3" s="8" t="s">
        <v>96</v>
      </c>
      <c r="D3" s="8" t="s">
        <v>97</v>
      </c>
      <c r="E3" s="8" t="s">
        <v>98</v>
      </c>
      <c r="F3" s="8" t="s">
        <v>3</v>
      </c>
      <c r="I3" s="2" t="s">
        <v>99</v>
      </c>
    </row>
    <row r="4" spans="1:11">
      <c r="A4" s="8" t="s">
        <v>100</v>
      </c>
      <c r="B4" s="10">
        <v>16.2</v>
      </c>
      <c r="C4" s="57">
        <v>0.3</v>
      </c>
      <c r="D4" s="58">
        <v>229000.95899999997</v>
      </c>
      <c r="E4" s="58">
        <f>D4*0.3</f>
        <v>68700.287699999986</v>
      </c>
      <c r="F4" s="10">
        <f>E4*B4</f>
        <v>1112944.6607399997</v>
      </c>
      <c r="I4" s="33" t="s">
        <v>101</v>
      </c>
    </row>
    <row r="5" spans="1:11">
      <c r="A5" s="8" t="s">
        <v>102</v>
      </c>
      <c r="B5" s="10">
        <v>29.4</v>
      </c>
      <c r="C5" s="57">
        <v>0.5</v>
      </c>
      <c r="D5" s="58">
        <v>229000.95899999997</v>
      </c>
      <c r="E5" s="58">
        <f>D5*0.5</f>
        <v>114500.47949999999</v>
      </c>
      <c r="F5" s="10">
        <f>E5*B5</f>
        <v>3366314.0972999996</v>
      </c>
      <c r="I5" s="2" t="s">
        <v>103</v>
      </c>
    </row>
    <row r="6" spans="1:11">
      <c r="A6" s="8" t="s">
        <v>104</v>
      </c>
      <c r="B6" s="10">
        <v>32</v>
      </c>
      <c r="C6" s="57">
        <v>0.2</v>
      </c>
      <c r="D6" s="58">
        <v>229000.95899999997</v>
      </c>
      <c r="E6" s="58">
        <f>D6*0.2</f>
        <v>45800.191800000001</v>
      </c>
      <c r="F6" s="10">
        <f>E6*B6</f>
        <v>1465606.1376</v>
      </c>
    </row>
    <row r="7" spans="1:11">
      <c r="A7" s="144" t="s">
        <v>105</v>
      </c>
      <c r="B7" s="145"/>
      <c r="C7" s="145"/>
      <c r="D7" s="145"/>
      <c r="E7" s="146"/>
      <c r="F7" s="19">
        <v>5944864.8956399998</v>
      </c>
      <c r="I7" s="2" t="s">
        <v>106</v>
      </c>
    </row>
    <row r="8" spans="1:11">
      <c r="I8" s="161" t="s">
        <v>95</v>
      </c>
      <c r="J8" s="162"/>
      <c r="K8" s="8" t="s">
        <v>107</v>
      </c>
    </row>
    <row r="9" spans="1:11">
      <c r="I9" s="8" t="s">
        <v>100</v>
      </c>
      <c r="J9" s="10">
        <v>16.2</v>
      </c>
      <c r="K9" s="57">
        <v>0.3</v>
      </c>
    </row>
    <row r="10" spans="1:11" ht="14.45" customHeight="1">
      <c r="A10" s="159" t="s">
        <v>62</v>
      </c>
      <c r="B10" s="135" t="s">
        <v>84</v>
      </c>
      <c r="C10" s="136"/>
      <c r="D10" s="136"/>
      <c r="I10" s="8" t="s">
        <v>102</v>
      </c>
      <c r="J10" s="10">
        <v>29.4</v>
      </c>
      <c r="K10" s="57">
        <v>0.5</v>
      </c>
    </row>
    <row r="11" spans="1:11">
      <c r="A11" s="160"/>
      <c r="B11" s="8" t="s">
        <v>66</v>
      </c>
      <c r="C11" s="8" t="s">
        <v>67</v>
      </c>
      <c r="D11" s="8" t="s">
        <v>68</v>
      </c>
      <c r="I11" s="8" t="s">
        <v>104</v>
      </c>
      <c r="J11" s="10">
        <v>32</v>
      </c>
      <c r="K11" s="57">
        <v>0.2</v>
      </c>
    </row>
    <row r="12" spans="1:11">
      <c r="A12" s="7" t="s">
        <v>85</v>
      </c>
      <c r="B12" s="98">
        <f>'DIscounting 7%'!O39</f>
        <v>178345946.8691999</v>
      </c>
      <c r="C12" s="98">
        <f>'DIscounting 7%'!P39</f>
        <v>62677270.359137617</v>
      </c>
      <c r="D12" s="17">
        <f>'Disc 3%'!P39</f>
        <v>108500211.20682921</v>
      </c>
      <c r="I12" s="157" t="s">
        <v>108</v>
      </c>
      <c r="J12" s="158"/>
      <c r="K12" s="158"/>
    </row>
    <row r="13" spans="1:11">
      <c r="I13" s="8" t="s">
        <v>109</v>
      </c>
      <c r="J13" s="142" t="s">
        <v>110</v>
      </c>
      <c r="K13" s="143"/>
    </row>
    <row r="14" spans="1:11">
      <c r="I14" s="61" t="s">
        <v>111</v>
      </c>
      <c r="J14" s="163">
        <v>229000.95999999999</v>
      </c>
      <c r="K14" s="162"/>
    </row>
    <row r="15" spans="1:11">
      <c r="I15" s="59"/>
      <c r="J15" s="60"/>
    </row>
    <row r="16" spans="1:11">
      <c r="I16" s="24"/>
    </row>
    <row r="17" spans="9:10">
      <c r="I17" s="59"/>
      <c r="J17" s="60"/>
    </row>
    <row r="19" spans="9:10">
      <c r="I19" s="24"/>
    </row>
    <row r="20" spans="9:10">
      <c r="I20" s="59"/>
      <c r="J20" s="60"/>
    </row>
  </sheetData>
  <mergeCells count="8">
    <mergeCell ref="J13:K13"/>
    <mergeCell ref="J14:K14"/>
    <mergeCell ref="A7:E7"/>
    <mergeCell ref="A3:B3"/>
    <mergeCell ref="I8:J8"/>
    <mergeCell ref="I12:K12"/>
    <mergeCell ref="A10:A11"/>
    <mergeCell ref="B10:D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64DC-B000-41E7-929F-AE409C5357DE}">
  <sheetPr>
    <tabColor rgb="FFFFC000"/>
  </sheetPr>
  <dimension ref="A1:G29"/>
  <sheetViews>
    <sheetView workbookViewId="0">
      <selection activeCell="F31" sqref="F31"/>
    </sheetView>
  </sheetViews>
  <sheetFormatPr defaultRowHeight="14.45"/>
  <cols>
    <col min="1" max="1" width="35.5703125" bestFit="1" customWidth="1"/>
    <col min="2" max="2" width="13.7109375" bestFit="1" customWidth="1"/>
    <col min="3" max="3" width="14.140625" bestFit="1" customWidth="1"/>
    <col min="4" max="4" width="17.140625" customWidth="1"/>
    <col min="6" max="6" width="29.42578125" customWidth="1"/>
    <col min="7" max="7" width="12.5703125" bestFit="1" customWidth="1"/>
  </cols>
  <sheetData>
    <row r="1" spans="1:7">
      <c r="A1" s="2" t="s">
        <v>112</v>
      </c>
      <c r="F1" s="2" t="s">
        <v>113</v>
      </c>
    </row>
    <row r="2" spans="1:7">
      <c r="F2" s="2" t="s">
        <v>99</v>
      </c>
    </row>
    <row r="3" spans="1:7">
      <c r="A3" s="161" t="s">
        <v>114</v>
      </c>
      <c r="B3" s="164"/>
      <c r="C3" s="162"/>
      <c r="F3" s="33" t="s">
        <v>101</v>
      </c>
    </row>
    <row r="4" spans="1:7">
      <c r="A4" s="8" t="s">
        <v>115</v>
      </c>
      <c r="B4" s="8" t="s">
        <v>116</v>
      </c>
      <c r="C4" s="8" t="s">
        <v>117</v>
      </c>
      <c r="F4" s="2" t="s">
        <v>103</v>
      </c>
    </row>
    <row r="5" spans="1:7">
      <c r="A5" s="7" t="s">
        <v>118</v>
      </c>
      <c r="B5" s="10">
        <v>12.52</v>
      </c>
      <c r="C5" s="17">
        <f>B5*45800</f>
        <v>573416</v>
      </c>
    </row>
    <row r="6" spans="1:7">
      <c r="A6" s="7" t="s">
        <v>119</v>
      </c>
      <c r="B6" s="10">
        <v>11</v>
      </c>
      <c r="C6" s="17">
        <f t="shared" ref="C6:C14" si="0">B6*45800</f>
        <v>503800</v>
      </c>
      <c r="F6" s="2" t="s">
        <v>120</v>
      </c>
    </row>
    <row r="7" spans="1:7">
      <c r="A7" s="7" t="s">
        <v>121</v>
      </c>
      <c r="B7" s="10">
        <v>6</v>
      </c>
      <c r="C7" s="17">
        <f t="shared" si="0"/>
        <v>274800</v>
      </c>
      <c r="F7" t="s">
        <v>122</v>
      </c>
    </row>
    <row r="8" spans="1:7">
      <c r="A8" s="7" t="s">
        <v>123</v>
      </c>
      <c r="B8" s="10">
        <v>3.55</v>
      </c>
      <c r="C8" s="17">
        <f t="shared" si="0"/>
        <v>162590</v>
      </c>
      <c r="F8" s="46" t="s">
        <v>124</v>
      </c>
    </row>
    <row r="9" spans="1:7">
      <c r="A9" s="7" t="s">
        <v>125</v>
      </c>
      <c r="B9" s="10">
        <v>0.67</v>
      </c>
      <c r="C9" s="17">
        <f t="shared" si="0"/>
        <v>30686.000000000004</v>
      </c>
    </row>
    <row r="10" spans="1:7">
      <c r="A10" s="7" t="s">
        <v>126</v>
      </c>
      <c r="B10" s="10">
        <v>1.73</v>
      </c>
      <c r="C10" s="17">
        <f t="shared" si="0"/>
        <v>79234</v>
      </c>
    </row>
    <row r="11" spans="1:7">
      <c r="A11" s="7" t="s">
        <v>127</v>
      </c>
      <c r="B11" s="10">
        <v>1.49</v>
      </c>
      <c r="C11" s="17">
        <f t="shared" si="0"/>
        <v>68242</v>
      </c>
      <c r="F11" s="2" t="s">
        <v>128</v>
      </c>
      <c r="G11" s="97"/>
    </row>
    <row r="12" spans="1:7">
      <c r="A12" s="8" t="s">
        <v>129</v>
      </c>
      <c r="B12" s="10"/>
      <c r="C12" s="17">
        <f t="shared" si="0"/>
        <v>0</v>
      </c>
      <c r="F12" s="8" t="s">
        <v>130</v>
      </c>
      <c r="G12" s="50">
        <v>229000.959</v>
      </c>
    </row>
    <row r="13" spans="1:7">
      <c r="A13" s="7" t="s">
        <v>131</v>
      </c>
      <c r="B13" s="10">
        <v>22.97</v>
      </c>
      <c r="C13" s="17">
        <f t="shared" si="0"/>
        <v>1052026</v>
      </c>
      <c r="F13" s="8" t="s">
        <v>132</v>
      </c>
      <c r="G13" s="7">
        <v>20</v>
      </c>
    </row>
    <row r="14" spans="1:7">
      <c r="A14" s="7" t="s">
        <v>133</v>
      </c>
      <c r="B14" s="10">
        <v>6.94</v>
      </c>
      <c r="C14" s="17">
        <f t="shared" si="0"/>
        <v>317852</v>
      </c>
      <c r="F14" s="8" t="s">
        <v>134</v>
      </c>
      <c r="G14" s="58">
        <f>G12*0.2</f>
        <v>45800.191800000001</v>
      </c>
    </row>
    <row r="15" spans="1:7">
      <c r="A15" s="49" t="s">
        <v>135</v>
      </c>
      <c r="B15" s="19">
        <v>66.87</v>
      </c>
      <c r="C15" s="21">
        <f>SUM(C5:C14)</f>
        <v>3062646</v>
      </c>
    </row>
    <row r="16" spans="1:7">
      <c r="C16" s="13"/>
      <c r="F16" s="2" t="s">
        <v>136</v>
      </c>
    </row>
    <row r="17" spans="1:7">
      <c r="F17" s="8" t="s">
        <v>137</v>
      </c>
      <c r="G17" s="7">
        <v>8592.6</v>
      </c>
    </row>
    <row r="18" spans="1:7">
      <c r="A18" s="8" t="s">
        <v>138</v>
      </c>
      <c r="B18" s="8" t="s">
        <v>139</v>
      </c>
      <c r="F18" s="8" t="s">
        <v>140</v>
      </c>
      <c r="G18" s="7">
        <v>80</v>
      </c>
    </row>
    <row r="19" spans="1:7">
      <c r="A19" s="7" t="s">
        <v>141</v>
      </c>
      <c r="B19" s="10">
        <f>3.84/(1+0.07)^2</f>
        <v>3.3540047165691327</v>
      </c>
      <c r="F19" s="8" t="s">
        <v>142</v>
      </c>
      <c r="G19" s="7">
        <f>G17*0.8</f>
        <v>6874.0800000000008</v>
      </c>
    </row>
    <row r="20" spans="1:7">
      <c r="A20" s="7" t="s">
        <v>143</v>
      </c>
      <c r="B20" s="7">
        <f>G19</f>
        <v>6874.0800000000008</v>
      </c>
      <c r="F20" s="8" t="s">
        <v>144</v>
      </c>
      <c r="G20" s="10">
        <v>3.84</v>
      </c>
    </row>
    <row r="21" spans="1:7">
      <c r="A21" s="7" t="s">
        <v>145</v>
      </c>
      <c r="B21" s="19">
        <f>B19*B20</f>
        <v>23055.696742073545</v>
      </c>
      <c r="F21" s="2" t="s">
        <v>146</v>
      </c>
    </row>
    <row r="22" spans="1:7">
      <c r="F22" s="2" t="s">
        <v>147</v>
      </c>
    </row>
    <row r="25" spans="1:7">
      <c r="A25" s="159" t="s">
        <v>62</v>
      </c>
      <c r="B25" s="135" t="s">
        <v>63</v>
      </c>
      <c r="C25" s="136"/>
      <c r="D25" s="136"/>
    </row>
    <row r="26" spans="1:7">
      <c r="A26" s="160"/>
      <c r="B26" s="8" t="s">
        <v>66</v>
      </c>
      <c r="C26" s="8" t="s">
        <v>67</v>
      </c>
      <c r="D26" s="8" t="s">
        <v>68</v>
      </c>
    </row>
    <row r="27" spans="1:7">
      <c r="A27" s="7" t="s">
        <v>148</v>
      </c>
      <c r="B27" s="98">
        <f>'DIscounting 7%'!G39</f>
        <v>91879380</v>
      </c>
      <c r="C27" s="98">
        <f>'DIscounting 7%'!H39</f>
        <v>32289765.154648814</v>
      </c>
      <c r="D27" s="17">
        <f>'Disc 3%'!$H$39</f>
        <v>55896600.45856718</v>
      </c>
    </row>
    <row r="28" spans="1:7">
      <c r="A28" s="7" t="s">
        <v>149</v>
      </c>
      <c r="B28" s="11">
        <f>'DIscounting 7%'!I39</f>
        <v>691670.90226220584</v>
      </c>
      <c r="C28" s="11">
        <f>'DIscounting 7%'!J39</f>
        <v>243078.38166028864</v>
      </c>
      <c r="D28" s="17">
        <f>'Disc 3%'!$J$39</f>
        <v>420791.39054450754</v>
      </c>
    </row>
    <row r="29" spans="1:7">
      <c r="A29" s="49" t="s">
        <v>150</v>
      </c>
      <c r="B29" s="22">
        <f>SUM(B27:B28)</f>
        <v>92571050.902262211</v>
      </c>
      <c r="C29" s="22">
        <f>SUM(C27:C28)</f>
        <v>32532843.536309104</v>
      </c>
      <c r="D29" s="21">
        <f>SUM(D27:D28)</f>
        <v>56317391.849111684</v>
      </c>
    </row>
  </sheetData>
  <mergeCells count="3">
    <mergeCell ref="A3:C3"/>
    <mergeCell ref="A25:A26"/>
    <mergeCell ref="B25:D25"/>
  </mergeCells>
  <hyperlinks>
    <hyperlink ref="F8" r:id="rId1" xr:uid="{3385CB99-4099-43D4-B11F-25373F2C985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695D-70D8-4BF8-B293-A5BCE79B8523}">
  <sheetPr>
    <tabColor theme="7"/>
  </sheetPr>
  <dimension ref="A1:H14"/>
  <sheetViews>
    <sheetView workbookViewId="0">
      <selection activeCell="C20" sqref="C20"/>
    </sheetView>
  </sheetViews>
  <sheetFormatPr defaultRowHeight="14.45"/>
  <cols>
    <col min="1" max="1" width="37.7109375" bestFit="1" customWidth="1"/>
    <col min="2" max="2" width="17.140625" customWidth="1"/>
    <col min="3" max="3" width="14.85546875" bestFit="1" customWidth="1"/>
    <col min="4" max="4" width="17.7109375" customWidth="1"/>
    <col min="5" max="7" width="15.42578125" customWidth="1"/>
    <col min="8" max="8" width="13.85546875" bestFit="1" customWidth="1"/>
    <col min="9" max="9" width="12" bestFit="1" customWidth="1"/>
  </cols>
  <sheetData>
    <row r="1" spans="1:8">
      <c r="A1" s="2" t="s">
        <v>151</v>
      </c>
    </row>
    <row r="2" spans="1:8">
      <c r="H2" s="2" t="s">
        <v>94</v>
      </c>
    </row>
    <row r="3" spans="1:8" ht="29.45" customHeight="1">
      <c r="A3" s="62" t="s">
        <v>152</v>
      </c>
      <c r="B3" s="61" t="s">
        <v>153</v>
      </c>
      <c r="C3" s="62" t="s">
        <v>154</v>
      </c>
      <c r="D3" s="61" t="s">
        <v>155</v>
      </c>
      <c r="E3" s="61" t="s">
        <v>156</v>
      </c>
      <c r="H3" s="2" t="s">
        <v>157</v>
      </c>
    </row>
    <row r="4" spans="1:8">
      <c r="A4" s="7" t="s">
        <v>158</v>
      </c>
      <c r="B4" s="7">
        <v>1</v>
      </c>
      <c r="C4" s="10">
        <v>12837400</v>
      </c>
      <c r="D4" s="7">
        <f>B4*0.27</f>
        <v>0.27</v>
      </c>
      <c r="E4" s="17">
        <f>C4*D4</f>
        <v>3466098</v>
      </c>
      <c r="H4" s="2" t="s">
        <v>99</v>
      </c>
    </row>
    <row r="5" spans="1:8">
      <c r="A5" s="7" t="s">
        <v>159</v>
      </c>
      <c r="B5" s="45">
        <f>88/3</f>
        <v>29.333333333333332</v>
      </c>
      <c r="C5" s="10">
        <v>302600</v>
      </c>
      <c r="D5" s="7">
        <f>B5*0.27</f>
        <v>7.92</v>
      </c>
      <c r="E5" s="17">
        <f>C5*D5</f>
        <v>2396592</v>
      </c>
      <c r="H5" s="33" t="s">
        <v>101</v>
      </c>
    </row>
    <row r="6" spans="1:8">
      <c r="A6" s="7" t="s">
        <v>160</v>
      </c>
      <c r="B6" s="7">
        <f>285/3</f>
        <v>95</v>
      </c>
      <c r="C6" s="10">
        <v>4600</v>
      </c>
      <c r="D6" s="7">
        <f>B6*0.27</f>
        <v>25.650000000000002</v>
      </c>
      <c r="E6" s="17">
        <f>C6*D6</f>
        <v>117990.00000000001</v>
      </c>
      <c r="H6" s="2" t="s">
        <v>103</v>
      </c>
    </row>
    <row r="7" spans="1:8">
      <c r="A7" s="49" t="s">
        <v>161</v>
      </c>
      <c r="B7" s="7"/>
      <c r="C7" s="10"/>
      <c r="D7" s="7"/>
      <c r="E7" s="21">
        <f>SUM(E4:E6)</f>
        <v>5980680</v>
      </c>
    </row>
    <row r="8" spans="1:8" ht="15.6">
      <c r="C8" s="12"/>
      <c r="H8" s="47" t="s">
        <v>162</v>
      </c>
    </row>
    <row r="9" spans="1:8">
      <c r="A9" s="2"/>
      <c r="H9" s="46" t="s">
        <v>163</v>
      </c>
    </row>
    <row r="11" spans="1:8">
      <c r="A11" s="148" t="s">
        <v>151</v>
      </c>
      <c r="B11" s="147" t="s">
        <v>164</v>
      </c>
      <c r="C11" s="158"/>
      <c r="D11" s="158"/>
    </row>
    <row r="12" spans="1:8">
      <c r="A12" s="132"/>
      <c r="B12" s="79" t="s">
        <v>66</v>
      </c>
      <c r="C12" s="79" t="s">
        <v>165</v>
      </c>
      <c r="D12" s="79" t="s">
        <v>166</v>
      </c>
    </row>
    <row r="13" spans="1:8">
      <c r="A13" s="133"/>
      <c r="B13" s="22">
        <f>'DIscounting 7%'!E39</f>
        <v>179420400</v>
      </c>
      <c r="C13" s="22">
        <f>'DIscounting 7%'!F39</f>
        <v>54567994.0343972</v>
      </c>
      <c r="D13" s="21">
        <f>'Disc 3%'!F39</f>
        <v>109153875.58031307</v>
      </c>
    </row>
    <row r="14" spans="1:8">
      <c r="C14" s="13"/>
    </row>
  </sheetData>
  <mergeCells count="2">
    <mergeCell ref="B11:D11"/>
    <mergeCell ref="A11:A13"/>
  </mergeCells>
  <hyperlinks>
    <hyperlink ref="H9" r:id="rId1" xr:uid="{68023714-8914-4E57-BC00-3B8DA838A2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2E2E-68F2-42C9-A80D-72EC80265DA8}">
  <sheetPr>
    <tabColor rgb="FFFFC000"/>
  </sheetPr>
  <dimension ref="A1:R38"/>
  <sheetViews>
    <sheetView topLeftCell="G1" workbookViewId="0">
      <selection activeCell="O35" sqref="O35"/>
    </sheetView>
  </sheetViews>
  <sheetFormatPr defaultRowHeight="14.45"/>
  <cols>
    <col min="3" max="3" width="11.85546875" bestFit="1" customWidth="1"/>
    <col min="4" max="4" width="12.28515625" bestFit="1" customWidth="1"/>
    <col min="5" max="5" width="12.42578125" bestFit="1" customWidth="1"/>
    <col min="6" max="6" width="12.140625" bestFit="1" customWidth="1"/>
    <col min="7" max="7" width="12.28515625" bestFit="1" customWidth="1"/>
    <col min="8" max="8" width="11.28515625" bestFit="1" customWidth="1"/>
    <col min="9" max="9" width="11.7109375" bestFit="1" customWidth="1"/>
    <col min="10" max="10" width="11.28515625" bestFit="1" customWidth="1"/>
    <col min="11" max="11" width="22.28515625" bestFit="1" customWidth="1"/>
    <col min="15" max="15" width="42.28515625" customWidth="1"/>
    <col min="16" max="16" width="12.7109375" bestFit="1" customWidth="1"/>
    <col min="17" max="18" width="14.7109375" bestFit="1" customWidth="1"/>
  </cols>
  <sheetData>
    <row r="1" spans="1:16" ht="15" thickBot="1">
      <c r="A1" s="2" t="s">
        <v>167</v>
      </c>
    </row>
    <row r="2" spans="1:16" ht="16.149999999999999" thickBot="1">
      <c r="A2" s="84" t="s">
        <v>168</v>
      </c>
      <c r="B2" s="85" t="s">
        <v>3</v>
      </c>
      <c r="C2" s="85" t="s">
        <v>169</v>
      </c>
      <c r="D2" s="85" t="s">
        <v>60</v>
      </c>
      <c r="E2" s="85" t="s">
        <v>3</v>
      </c>
      <c r="F2" s="85" t="s">
        <v>170</v>
      </c>
      <c r="G2" s="85" t="s">
        <v>60</v>
      </c>
      <c r="H2" s="85" t="s">
        <v>3</v>
      </c>
      <c r="I2" s="85" t="s">
        <v>171</v>
      </c>
      <c r="J2" s="86" t="s">
        <v>60</v>
      </c>
      <c r="K2" s="8" t="s">
        <v>172</v>
      </c>
      <c r="O2" s="2" t="s">
        <v>173</v>
      </c>
    </row>
    <row r="3" spans="1:16">
      <c r="A3" s="87">
        <v>2026</v>
      </c>
      <c r="B3" s="88">
        <v>57</v>
      </c>
      <c r="C3" s="87">
        <f>P10</f>
        <v>77.900000000000006</v>
      </c>
      <c r="D3" s="88">
        <f>(B3*C3)*D37</f>
        <v>2590.1749999999997</v>
      </c>
      <c r="E3" s="88">
        <v>16800</v>
      </c>
      <c r="F3" s="87">
        <v>0.9</v>
      </c>
      <c r="G3" s="88">
        <f>(E3*F3)*D37</f>
        <v>8819.9999999999982</v>
      </c>
      <c r="H3" s="88">
        <v>45700</v>
      </c>
      <c r="I3" s="87">
        <v>0.04</v>
      </c>
      <c r="J3" s="89">
        <f>(H3*I3)*D37</f>
        <v>1066.3333333333333</v>
      </c>
      <c r="K3" s="23">
        <f>D3+G3+J3</f>
        <v>12476.508333333331</v>
      </c>
      <c r="O3" s="2" t="s">
        <v>99</v>
      </c>
    </row>
    <row r="4" spans="1:16">
      <c r="A4" s="7">
        <v>2027</v>
      </c>
      <c r="B4" s="23">
        <v>58</v>
      </c>
      <c r="C4" s="7">
        <v>77.900000000000006</v>
      </c>
      <c r="D4" s="88">
        <f t="shared" ref="D4:D32" si="0">B4*C4</f>
        <v>4518.2000000000007</v>
      </c>
      <c r="E4" s="23">
        <v>17100</v>
      </c>
      <c r="F4" s="7">
        <v>0.9</v>
      </c>
      <c r="G4" s="88">
        <f t="shared" ref="G4:G32" si="1">E4*F4</f>
        <v>15390</v>
      </c>
      <c r="H4" s="23">
        <v>46500</v>
      </c>
      <c r="I4" s="7">
        <v>0.04</v>
      </c>
      <c r="J4" s="89">
        <f t="shared" ref="J4:J32" si="2">H4*I4</f>
        <v>1860</v>
      </c>
      <c r="K4" s="23">
        <f t="shared" ref="K4:K34" si="3">D4+G4+J4</f>
        <v>21768.2</v>
      </c>
      <c r="O4" s="33" t="s">
        <v>101</v>
      </c>
    </row>
    <row r="5" spans="1:16">
      <c r="A5" s="7">
        <v>2028</v>
      </c>
      <c r="B5" s="23">
        <v>60</v>
      </c>
      <c r="C5" s="7">
        <v>77.900000000000006</v>
      </c>
      <c r="D5" s="88">
        <f t="shared" si="0"/>
        <v>4674</v>
      </c>
      <c r="E5" s="23">
        <v>17400</v>
      </c>
      <c r="F5" s="7">
        <v>0.9</v>
      </c>
      <c r="G5" s="88">
        <f t="shared" si="1"/>
        <v>15660</v>
      </c>
      <c r="H5" s="23">
        <v>47300</v>
      </c>
      <c r="I5" s="7">
        <v>0.04</v>
      </c>
      <c r="J5" s="89">
        <f t="shared" si="2"/>
        <v>1892</v>
      </c>
      <c r="K5" s="23">
        <f t="shared" si="3"/>
        <v>22226</v>
      </c>
      <c r="O5" s="2" t="s">
        <v>103</v>
      </c>
    </row>
    <row r="6" spans="1:16">
      <c r="A6" s="7">
        <v>2029</v>
      </c>
      <c r="B6" s="23">
        <v>61</v>
      </c>
      <c r="C6" s="7">
        <v>77.900000000000006</v>
      </c>
      <c r="D6" s="88">
        <f t="shared" si="0"/>
        <v>4751.9000000000005</v>
      </c>
      <c r="E6" s="23">
        <v>17700</v>
      </c>
      <c r="F6" s="7">
        <v>0.9</v>
      </c>
      <c r="G6" s="88">
        <f t="shared" si="1"/>
        <v>15930</v>
      </c>
      <c r="H6" s="23">
        <v>48200</v>
      </c>
      <c r="I6" s="7">
        <v>0.04</v>
      </c>
      <c r="J6" s="89">
        <f t="shared" si="2"/>
        <v>1928</v>
      </c>
      <c r="K6" s="23">
        <f t="shared" si="3"/>
        <v>22609.9</v>
      </c>
    </row>
    <row r="7" spans="1:16">
      <c r="A7" s="7">
        <v>2030</v>
      </c>
      <c r="B7" s="23">
        <v>62</v>
      </c>
      <c r="C7" s="7">
        <v>77.900000000000006</v>
      </c>
      <c r="D7" s="88">
        <f t="shared" si="0"/>
        <v>4829.8</v>
      </c>
      <c r="E7" s="23">
        <v>18100</v>
      </c>
      <c r="F7" s="7">
        <v>0.9</v>
      </c>
      <c r="G7" s="88">
        <f t="shared" si="1"/>
        <v>16290</v>
      </c>
      <c r="H7" s="23">
        <v>49100</v>
      </c>
      <c r="I7" s="7">
        <v>0.04</v>
      </c>
      <c r="J7" s="89">
        <f t="shared" si="2"/>
        <v>1964</v>
      </c>
      <c r="K7" s="23">
        <f t="shared" si="3"/>
        <v>23083.8</v>
      </c>
      <c r="O7" s="2" t="s">
        <v>174</v>
      </c>
    </row>
    <row r="8" spans="1:16" ht="15.6">
      <c r="A8" s="7">
        <v>2031</v>
      </c>
      <c r="B8" s="23">
        <v>63</v>
      </c>
      <c r="C8" s="7">
        <v>77.900000000000006</v>
      </c>
      <c r="D8" s="88">
        <f t="shared" si="0"/>
        <v>4907.7000000000007</v>
      </c>
      <c r="E8" s="23">
        <v>18100</v>
      </c>
      <c r="F8" s="7">
        <v>0.9</v>
      </c>
      <c r="G8" s="88">
        <f t="shared" si="1"/>
        <v>16290</v>
      </c>
      <c r="H8" s="23">
        <v>49100</v>
      </c>
      <c r="I8" s="7">
        <v>0.04</v>
      </c>
      <c r="J8" s="89">
        <f t="shared" si="2"/>
        <v>1964</v>
      </c>
      <c r="K8" s="23">
        <f t="shared" si="3"/>
        <v>23161.7</v>
      </c>
      <c r="O8" s="149" t="s">
        <v>175</v>
      </c>
      <c r="P8" s="150"/>
    </row>
    <row r="9" spans="1:16">
      <c r="A9" s="7">
        <v>2032</v>
      </c>
      <c r="B9" s="23">
        <v>64</v>
      </c>
      <c r="C9" s="7">
        <v>77.900000000000006</v>
      </c>
      <c r="D9" s="88">
        <f t="shared" si="0"/>
        <v>4985.6000000000004</v>
      </c>
      <c r="E9" s="23">
        <v>18100</v>
      </c>
      <c r="F9" s="7">
        <v>0.9</v>
      </c>
      <c r="G9" s="88">
        <f t="shared" si="1"/>
        <v>16290</v>
      </c>
      <c r="H9" s="23">
        <v>49100</v>
      </c>
      <c r="I9" s="7">
        <v>0.04</v>
      </c>
      <c r="J9" s="89">
        <f t="shared" si="2"/>
        <v>1964</v>
      </c>
      <c r="K9" s="23">
        <f t="shared" si="3"/>
        <v>23239.599999999999</v>
      </c>
      <c r="O9" s="8"/>
      <c r="P9" s="7"/>
    </row>
    <row r="10" spans="1:16">
      <c r="A10" s="7">
        <v>2033</v>
      </c>
      <c r="B10" s="23">
        <v>65</v>
      </c>
      <c r="C10" s="7">
        <v>77.900000000000006</v>
      </c>
      <c r="D10" s="88">
        <f t="shared" si="0"/>
        <v>5063.5</v>
      </c>
      <c r="E10" s="23">
        <v>18100</v>
      </c>
      <c r="F10" s="7">
        <v>0.9</v>
      </c>
      <c r="G10" s="88">
        <f t="shared" si="1"/>
        <v>16290</v>
      </c>
      <c r="H10" s="23">
        <v>49100</v>
      </c>
      <c r="I10" s="7">
        <v>0.04</v>
      </c>
      <c r="J10" s="89">
        <f t="shared" si="2"/>
        <v>1964</v>
      </c>
      <c r="K10" s="23">
        <f t="shared" si="3"/>
        <v>23317.5</v>
      </c>
      <c r="O10" s="8" t="s">
        <v>176</v>
      </c>
      <c r="P10" s="7">
        <v>77.900000000000006</v>
      </c>
    </row>
    <row r="11" spans="1:16" ht="15.6">
      <c r="A11" s="7">
        <v>2034</v>
      </c>
      <c r="B11" s="23">
        <v>66</v>
      </c>
      <c r="C11" s="7">
        <v>77.900000000000006</v>
      </c>
      <c r="D11" s="88">
        <f t="shared" si="0"/>
        <v>5141.4000000000005</v>
      </c>
      <c r="E11" s="23">
        <v>18100</v>
      </c>
      <c r="F11" s="7">
        <v>0.9</v>
      </c>
      <c r="G11" s="88">
        <f t="shared" si="1"/>
        <v>16290</v>
      </c>
      <c r="H11" s="23">
        <v>49100</v>
      </c>
      <c r="I11" s="7">
        <v>0.04</v>
      </c>
      <c r="J11" s="89">
        <f t="shared" si="2"/>
        <v>1964</v>
      </c>
      <c r="K11" s="23">
        <f t="shared" si="3"/>
        <v>23395.4</v>
      </c>
      <c r="O11" s="149" t="s">
        <v>177</v>
      </c>
      <c r="P11" s="150"/>
    </row>
    <row r="12" spans="1:16">
      <c r="A12" s="7">
        <v>2035</v>
      </c>
      <c r="B12" s="23">
        <v>67</v>
      </c>
      <c r="C12" s="7">
        <v>77.900000000000006</v>
      </c>
      <c r="D12" s="88">
        <f t="shared" si="0"/>
        <v>5219.3</v>
      </c>
      <c r="E12" s="23">
        <v>18100</v>
      </c>
      <c r="F12" s="7">
        <v>0.9</v>
      </c>
      <c r="G12" s="88">
        <f t="shared" si="1"/>
        <v>16290</v>
      </c>
      <c r="H12" s="23">
        <v>49100</v>
      </c>
      <c r="I12" s="7">
        <v>0.04</v>
      </c>
      <c r="J12" s="89">
        <f t="shared" si="2"/>
        <v>1964</v>
      </c>
      <c r="K12" s="23">
        <f t="shared" si="3"/>
        <v>23473.3</v>
      </c>
      <c r="O12" s="8"/>
      <c r="P12" s="7"/>
    </row>
    <row r="13" spans="1:16">
      <c r="A13" s="7">
        <v>2036</v>
      </c>
      <c r="B13" s="23">
        <v>69</v>
      </c>
      <c r="C13" s="7">
        <v>77.900000000000006</v>
      </c>
      <c r="D13" s="88">
        <f t="shared" si="0"/>
        <v>5375.1</v>
      </c>
      <c r="E13" s="23">
        <v>18100</v>
      </c>
      <c r="F13" s="7">
        <v>0.9</v>
      </c>
      <c r="G13" s="88">
        <f t="shared" si="1"/>
        <v>16290</v>
      </c>
      <c r="H13" s="23">
        <v>49100</v>
      </c>
      <c r="I13" s="7">
        <v>0.04</v>
      </c>
      <c r="J13" s="89">
        <f t="shared" si="2"/>
        <v>1964</v>
      </c>
      <c r="K13" s="23">
        <f t="shared" si="3"/>
        <v>23629.1</v>
      </c>
      <c r="O13" s="8" t="s">
        <v>176</v>
      </c>
      <c r="P13" s="45">
        <v>0.9</v>
      </c>
    </row>
    <row r="14" spans="1:16" ht="15.6">
      <c r="A14" s="7">
        <v>2037</v>
      </c>
      <c r="B14" s="23">
        <v>70</v>
      </c>
      <c r="C14" s="7">
        <v>77.900000000000006</v>
      </c>
      <c r="D14" s="88">
        <f t="shared" si="0"/>
        <v>5453</v>
      </c>
      <c r="E14" s="23">
        <v>18100</v>
      </c>
      <c r="F14" s="7">
        <v>0.9</v>
      </c>
      <c r="G14" s="88">
        <f t="shared" si="1"/>
        <v>16290</v>
      </c>
      <c r="H14" s="23">
        <v>49100</v>
      </c>
      <c r="I14" s="7">
        <v>0.04</v>
      </c>
      <c r="J14" s="89">
        <f t="shared" si="2"/>
        <v>1964</v>
      </c>
      <c r="K14" s="23">
        <f t="shared" si="3"/>
        <v>23707</v>
      </c>
      <c r="O14" s="149" t="s">
        <v>178</v>
      </c>
      <c r="P14" s="150"/>
    </row>
    <row r="15" spans="1:16">
      <c r="A15" s="7">
        <v>2038</v>
      </c>
      <c r="B15" s="23">
        <v>71</v>
      </c>
      <c r="C15" s="7">
        <v>77.900000000000006</v>
      </c>
      <c r="D15" s="88">
        <f t="shared" si="0"/>
        <v>5530.9000000000005</v>
      </c>
      <c r="E15" s="23">
        <v>18100</v>
      </c>
      <c r="F15" s="7">
        <v>0.9</v>
      </c>
      <c r="G15" s="88">
        <f t="shared" si="1"/>
        <v>16290</v>
      </c>
      <c r="H15" s="23">
        <v>49100</v>
      </c>
      <c r="I15" s="7">
        <v>0.04</v>
      </c>
      <c r="J15" s="89">
        <f t="shared" si="2"/>
        <v>1964</v>
      </c>
      <c r="K15" s="23">
        <f t="shared" si="3"/>
        <v>23784.9</v>
      </c>
      <c r="O15" s="56"/>
      <c r="P15" s="48"/>
    </row>
    <row r="16" spans="1:16">
      <c r="A16" s="7">
        <v>2039</v>
      </c>
      <c r="B16" s="23">
        <v>72</v>
      </c>
      <c r="C16" s="7">
        <v>77.900000000000006</v>
      </c>
      <c r="D16" s="88">
        <f t="shared" si="0"/>
        <v>5608.8</v>
      </c>
      <c r="E16" s="23">
        <v>18100</v>
      </c>
      <c r="F16" s="7">
        <v>0.9</v>
      </c>
      <c r="G16" s="88">
        <f t="shared" si="1"/>
        <v>16290</v>
      </c>
      <c r="H16" s="23">
        <v>49100</v>
      </c>
      <c r="I16" s="7">
        <v>0.04</v>
      </c>
      <c r="J16" s="89">
        <f t="shared" si="2"/>
        <v>1964</v>
      </c>
      <c r="K16" s="23">
        <f t="shared" si="3"/>
        <v>23862.799999999999</v>
      </c>
      <c r="O16" s="8" t="s">
        <v>176</v>
      </c>
      <c r="P16" s="7">
        <v>0.04</v>
      </c>
    </row>
    <row r="17" spans="1:18">
      <c r="A17" s="7">
        <v>2040</v>
      </c>
      <c r="B17" s="23">
        <v>73</v>
      </c>
      <c r="C17" s="7">
        <v>77.900000000000006</v>
      </c>
      <c r="D17" s="88">
        <f t="shared" si="0"/>
        <v>5686.7000000000007</v>
      </c>
      <c r="E17" s="23">
        <v>18100</v>
      </c>
      <c r="F17" s="7">
        <v>0.9</v>
      </c>
      <c r="G17" s="88">
        <f t="shared" si="1"/>
        <v>16290</v>
      </c>
      <c r="H17" s="23">
        <v>49100</v>
      </c>
      <c r="I17" s="7">
        <v>0.04</v>
      </c>
      <c r="J17" s="89">
        <f t="shared" si="2"/>
        <v>1964</v>
      </c>
      <c r="K17" s="23">
        <f t="shared" si="3"/>
        <v>23940.7</v>
      </c>
      <c r="O17" s="2" t="s">
        <v>179</v>
      </c>
    </row>
    <row r="18" spans="1:18">
      <c r="A18" s="7">
        <v>2041</v>
      </c>
      <c r="B18" s="23">
        <v>74</v>
      </c>
      <c r="C18" s="7">
        <v>77.900000000000006</v>
      </c>
      <c r="D18" s="88">
        <f t="shared" si="0"/>
        <v>5764.6</v>
      </c>
      <c r="E18" s="23">
        <v>18100</v>
      </c>
      <c r="F18" s="7">
        <v>0.9</v>
      </c>
      <c r="G18" s="88">
        <f t="shared" si="1"/>
        <v>16290</v>
      </c>
      <c r="H18" s="23">
        <v>49100</v>
      </c>
      <c r="I18" s="7">
        <v>0.04</v>
      </c>
      <c r="J18" s="89">
        <f t="shared" si="2"/>
        <v>1964</v>
      </c>
      <c r="K18" s="23">
        <f t="shared" si="3"/>
        <v>24018.6</v>
      </c>
    </row>
    <row r="19" spans="1:18">
      <c r="A19" s="7">
        <v>2042</v>
      </c>
      <c r="B19" s="23">
        <v>75</v>
      </c>
      <c r="C19" s="7">
        <v>77.900000000000006</v>
      </c>
      <c r="D19" s="88">
        <f t="shared" si="0"/>
        <v>5842.5</v>
      </c>
      <c r="E19" s="23">
        <v>18100</v>
      </c>
      <c r="F19" s="7">
        <v>0.9</v>
      </c>
      <c r="G19" s="88">
        <f t="shared" si="1"/>
        <v>16290</v>
      </c>
      <c r="H19" s="23">
        <v>49100</v>
      </c>
      <c r="I19" s="7">
        <v>0.04</v>
      </c>
      <c r="J19" s="89">
        <f t="shared" si="2"/>
        <v>1964</v>
      </c>
      <c r="K19" s="23">
        <f t="shared" si="3"/>
        <v>24096.5</v>
      </c>
    </row>
    <row r="20" spans="1:18">
      <c r="A20" s="7">
        <v>2043</v>
      </c>
      <c r="B20" s="23">
        <v>77</v>
      </c>
      <c r="C20" s="7">
        <v>77.900000000000006</v>
      </c>
      <c r="D20" s="88">
        <f t="shared" si="0"/>
        <v>5998.3</v>
      </c>
      <c r="E20" s="23">
        <v>18100</v>
      </c>
      <c r="F20" s="7">
        <v>0.9</v>
      </c>
      <c r="G20" s="88">
        <f t="shared" si="1"/>
        <v>16290</v>
      </c>
      <c r="H20" s="23">
        <v>49100</v>
      </c>
      <c r="I20" s="7">
        <v>0.04</v>
      </c>
      <c r="J20" s="89">
        <f t="shared" si="2"/>
        <v>1964</v>
      </c>
      <c r="K20" s="23">
        <f t="shared" si="3"/>
        <v>24252.3</v>
      </c>
      <c r="O20" s="148" t="s">
        <v>180</v>
      </c>
      <c r="P20" s="147" t="s">
        <v>164</v>
      </c>
      <c r="Q20" s="158"/>
      <c r="R20" s="158"/>
    </row>
    <row r="21" spans="1:18">
      <c r="A21" s="7">
        <v>2044</v>
      </c>
      <c r="B21" s="23">
        <v>78</v>
      </c>
      <c r="C21" s="7">
        <v>77.900000000000006</v>
      </c>
      <c r="D21" s="88">
        <f t="shared" si="0"/>
        <v>6076.2000000000007</v>
      </c>
      <c r="E21" s="23">
        <v>18100</v>
      </c>
      <c r="F21" s="7">
        <v>0.9</v>
      </c>
      <c r="G21" s="88">
        <f t="shared" si="1"/>
        <v>16290</v>
      </c>
      <c r="H21" s="23">
        <v>49100</v>
      </c>
      <c r="I21" s="7">
        <v>0.04</v>
      </c>
      <c r="J21" s="89">
        <f t="shared" si="2"/>
        <v>1964</v>
      </c>
      <c r="K21" s="23">
        <f t="shared" si="3"/>
        <v>24330.2</v>
      </c>
      <c r="O21" s="132"/>
      <c r="P21" s="79" t="s">
        <v>66</v>
      </c>
      <c r="Q21" s="79" t="s">
        <v>165</v>
      </c>
      <c r="R21" s="79" t="s">
        <v>166</v>
      </c>
    </row>
    <row r="22" spans="1:18">
      <c r="A22" s="7">
        <v>2045</v>
      </c>
      <c r="B22" s="23">
        <v>79</v>
      </c>
      <c r="C22" s="7">
        <v>77.900000000000006</v>
      </c>
      <c r="D22" s="88">
        <f t="shared" si="0"/>
        <v>6154.1</v>
      </c>
      <c r="E22" s="23">
        <v>18100</v>
      </c>
      <c r="F22" s="7">
        <v>0.9</v>
      </c>
      <c r="G22" s="88">
        <f t="shared" si="1"/>
        <v>16290</v>
      </c>
      <c r="H22" s="23">
        <v>49100</v>
      </c>
      <c r="I22" s="7">
        <v>0.04</v>
      </c>
      <c r="J22" s="89">
        <f t="shared" si="2"/>
        <v>1964</v>
      </c>
      <c r="K22" s="23">
        <f t="shared" si="3"/>
        <v>24408.1</v>
      </c>
      <c r="O22" s="133"/>
      <c r="P22" s="22">
        <f>'DIscounting 7%'!K39</f>
        <v>716811.29999999993</v>
      </c>
      <c r="Q22" s="22">
        <f>'DIscounting 7%'!L39</f>
        <v>211460.60706938972</v>
      </c>
      <c r="R22" s="22">
        <f>'Disc 3%'!$L$39</f>
        <v>432041.8661368289</v>
      </c>
    </row>
    <row r="23" spans="1:18">
      <c r="A23" s="7">
        <v>2046</v>
      </c>
      <c r="B23" s="7">
        <v>80</v>
      </c>
      <c r="C23" s="7">
        <v>77.900000000000006</v>
      </c>
      <c r="D23" s="88">
        <f t="shared" si="0"/>
        <v>6232</v>
      </c>
      <c r="E23" s="23">
        <v>18100</v>
      </c>
      <c r="F23" s="7">
        <v>0.9</v>
      </c>
      <c r="G23" s="88">
        <f t="shared" si="1"/>
        <v>16290</v>
      </c>
      <c r="H23" s="23">
        <v>49100</v>
      </c>
      <c r="I23" s="7">
        <v>0.04</v>
      </c>
      <c r="J23" s="89">
        <f t="shared" si="2"/>
        <v>1964</v>
      </c>
      <c r="K23" s="23">
        <f t="shared" si="3"/>
        <v>24486</v>
      </c>
    </row>
    <row r="24" spans="1:18">
      <c r="A24" s="7">
        <v>2047</v>
      </c>
      <c r="B24" s="7">
        <v>81</v>
      </c>
      <c r="C24" s="7">
        <v>77.900000000000006</v>
      </c>
      <c r="D24" s="88">
        <f t="shared" si="0"/>
        <v>6309.9000000000005</v>
      </c>
      <c r="E24" s="23">
        <v>18100</v>
      </c>
      <c r="F24" s="7">
        <v>0.9</v>
      </c>
      <c r="G24" s="88">
        <f t="shared" si="1"/>
        <v>16290</v>
      </c>
      <c r="H24" s="23">
        <v>49100</v>
      </c>
      <c r="I24" s="7">
        <v>0.04</v>
      </c>
      <c r="J24" s="89">
        <f t="shared" si="2"/>
        <v>1964</v>
      </c>
      <c r="K24" s="23">
        <f t="shared" si="3"/>
        <v>24563.9</v>
      </c>
    </row>
    <row r="25" spans="1:18">
      <c r="A25" s="7">
        <v>2048</v>
      </c>
      <c r="B25" s="7">
        <v>82</v>
      </c>
      <c r="C25" s="7">
        <v>77.900000000000006</v>
      </c>
      <c r="D25" s="88">
        <f t="shared" si="0"/>
        <v>6387.8</v>
      </c>
      <c r="E25" s="23">
        <v>18100</v>
      </c>
      <c r="F25" s="7">
        <v>0.9</v>
      </c>
      <c r="G25" s="88">
        <f t="shared" si="1"/>
        <v>16290</v>
      </c>
      <c r="H25" s="23">
        <v>49100</v>
      </c>
      <c r="I25" s="7">
        <v>0.04</v>
      </c>
      <c r="J25" s="89">
        <f t="shared" si="2"/>
        <v>1964</v>
      </c>
      <c r="K25" s="23">
        <f t="shared" si="3"/>
        <v>24641.8</v>
      </c>
      <c r="O25" s="8" t="s">
        <v>152</v>
      </c>
      <c r="P25" s="8" t="s">
        <v>3</v>
      </c>
    </row>
    <row r="26" spans="1:18">
      <c r="A26" s="7">
        <v>2049</v>
      </c>
      <c r="B26" s="7">
        <v>83</v>
      </c>
      <c r="C26" s="7">
        <v>77.900000000000006</v>
      </c>
      <c r="D26" s="88">
        <f t="shared" si="0"/>
        <v>6465.7000000000007</v>
      </c>
      <c r="E26" s="23">
        <v>18100</v>
      </c>
      <c r="F26" s="7">
        <v>0.9</v>
      </c>
      <c r="G26" s="88">
        <f t="shared" si="1"/>
        <v>16290</v>
      </c>
      <c r="H26" s="23">
        <v>49100</v>
      </c>
      <c r="I26" s="7">
        <v>0.04</v>
      </c>
      <c r="J26" s="89">
        <f t="shared" si="2"/>
        <v>1964</v>
      </c>
      <c r="K26" s="23">
        <f t="shared" si="3"/>
        <v>24719.7</v>
      </c>
      <c r="O26" s="7" t="s">
        <v>181</v>
      </c>
      <c r="P26" s="7">
        <v>77.900000000000006</v>
      </c>
    </row>
    <row r="27" spans="1:18">
      <c r="A27" s="7">
        <v>2050</v>
      </c>
      <c r="B27" s="7">
        <v>85</v>
      </c>
      <c r="C27" s="7">
        <v>77.900000000000006</v>
      </c>
      <c r="D27" s="88">
        <f t="shared" si="0"/>
        <v>6621.5000000000009</v>
      </c>
      <c r="E27" s="23">
        <v>18100</v>
      </c>
      <c r="F27" s="7">
        <v>0.9</v>
      </c>
      <c r="G27" s="88">
        <f t="shared" si="1"/>
        <v>16290</v>
      </c>
      <c r="H27" s="23">
        <v>49100</v>
      </c>
      <c r="I27" s="7">
        <v>0.04</v>
      </c>
      <c r="J27" s="89">
        <f t="shared" si="2"/>
        <v>1964</v>
      </c>
      <c r="K27" s="23">
        <f t="shared" si="3"/>
        <v>24875.5</v>
      </c>
      <c r="O27" s="7" t="s">
        <v>182</v>
      </c>
      <c r="P27" s="7">
        <v>0.9</v>
      </c>
    </row>
    <row r="28" spans="1:18">
      <c r="A28" s="7">
        <v>2051</v>
      </c>
      <c r="B28" s="7">
        <v>85</v>
      </c>
      <c r="C28" s="7">
        <v>77.900000000000006</v>
      </c>
      <c r="D28" s="88">
        <f t="shared" si="0"/>
        <v>6621.5000000000009</v>
      </c>
      <c r="E28" s="23">
        <v>18100</v>
      </c>
      <c r="F28" s="7">
        <v>0.9</v>
      </c>
      <c r="G28" s="88">
        <f t="shared" si="1"/>
        <v>16290</v>
      </c>
      <c r="H28" s="23">
        <v>49100</v>
      </c>
      <c r="I28" s="7">
        <v>0.04</v>
      </c>
      <c r="J28" s="89">
        <f t="shared" si="2"/>
        <v>1964</v>
      </c>
      <c r="K28" s="23">
        <f t="shared" si="3"/>
        <v>24875.5</v>
      </c>
      <c r="O28" s="7" t="s">
        <v>183</v>
      </c>
      <c r="P28" s="7">
        <v>0.04</v>
      </c>
    </row>
    <row r="29" spans="1:18">
      <c r="A29" s="7">
        <v>2052</v>
      </c>
      <c r="B29" s="7">
        <v>85</v>
      </c>
      <c r="C29" s="7">
        <v>77.900000000000006</v>
      </c>
      <c r="D29" s="88">
        <f t="shared" si="0"/>
        <v>6621.5000000000009</v>
      </c>
      <c r="E29" s="23">
        <v>18100</v>
      </c>
      <c r="F29" s="7">
        <v>0.9</v>
      </c>
      <c r="G29" s="88">
        <f t="shared" si="1"/>
        <v>16290</v>
      </c>
      <c r="H29" s="23">
        <v>49100</v>
      </c>
      <c r="I29" s="7">
        <v>0.04</v>
      </c>
      <c r="J29" s="89">
        <f t="shared" si="2"/>
        <v>1964</v>
      </c>
      <c r="K29" s="23">
        <f t="shared" si="3"/>
        <v>24875.5</v>
      </c>
      <c r="O29" s="2" t="s">
        <v>179</v>
      </c>
    </row>
    <row r="30" spans="1:18">
      <c r="A30" s="7">
        <v>2053</v>
      </c>
      <c r="B30" s="7">
        <v>85</v>
      </c>
      <c r="C30" s="7">
        <v>77.900000000000006</v>
      </c>
      <c r="D30" s="88">
        <f t="shared" si="0"/>
        <v>6621.5000000000009</v>
      </c>
      <c r="E30" s="23">
        <v>18100</v>
      </c>
      <c r="F30" s="7">
        <v>0.9</v>
      </c>
      <c r="G30" s="88">
        <f t="shared" si="1"/>
        <v>16290</v>
      </c>
      <c r="H30" s="23">
        <v>49100</v>
      </c>
      <c r="I30" s="7">
        <v>0.04</v>
      </c>
      <c r="J30" s="89">
        <f t="shared" si="2"/>
        <v>1964</v>
      </c>
      <c r="K30" s="23">
        <f t="shared" si="3"/>
        <v>24875.5</v>
      </c>
    </row>
    <row r="31" spans="1:18">
      <c r="A31" s="7">
        <v>2054</v>
      </c>
      <c r="B31" s="7">
        <v>85</v>
      </c>
      <c r="C31" s="7">
        <v>77.900000000000006</v>
      </c>
      <c r="D31" s="88">
        <f t="shared" si="0"/>
        <v>6621.5000000000009</v>
      </c>
      <c r="E31" s="23">
        <v>18100</v>
      </c>
      <c r="F31" s="7">
        <v>0.9</v>
      </c>
      <c r="G31" s="88">
        <f t="shared" si="1"/>
        <v>16290</v>
      </c>
      <c r="H31" s="23">
        <v>49100</v>
      </c>
      <c r="I31" s="7">
        <v>0.04</v>
      </c>
      <c r="J31" s="89">
        <f t="shared" si="2"/>
        <v>1964</v>
      </c>
      <c r="K31" s="23">
        <f t="shared" si="3"/>
        <v>24875.5</v>
      </c>
      <c r="O31" t="s">
        <v>184</v>
      </c>
    </row>
    <row r="32" spans="1:18">
      <c r="A32" s="7">
        <v>2055</v>
      </c>
      <c r="B32" s="7">
        <v>85</v>
      </c>
      <c r="C32" s="7">
        <v>77.900000000000006</v>
      </c>
      <c r="D32" s="88">
        <f t="shared" si="0"/>
        <v>6621.5000000000009</v>
      </c>
      <c r="E32" s="23">
        <v>18100</v>
      </c>
      <c r="F32" s="7">
        <v>0.9</v>
      </c>
      <c r="G32" s="88">
        <f t="shared" si="1"/>
        <v>16290</v>
      </c>
      <c r="H32" s="23">
        <v>49100</v>
      </c>
      <c r="I32" s="7">
        <v>0.04</v>
      </c>
      <c r="J32" s="89">
        <f t="shared" si="2"/>
        <v>1964</v>
      </c>
      <c r="K32" s="23">
        <f t="shared" si="3"/>
        <v>24875.5</v>
      </c>
      <c r="O32" t="s">
        <v>185</v>
      </c>
    </row>
    <row r="33" spans="1:11">
      <c r="A33" s="7" t="s">
        <v>186</v>
      </c>
      <c r="B33" s="7">
        <v>85</v>
      </c>
      <c r="C33" s="7">
        <v>77.900000000000006</v>
      </c>
      <c r="D33" s="88">
        <f>(B33*C33)*D38</f>
        <v>2758.9583333333335</v>
      </c>
      <c r="E33" s="23">
        <v>18100</v>
      </c>
      <c r="F33" s="7">
        <v>0.9</v>
      </c>
      <c r="G33" s="88">
        <f>(E33*F33)*D38</f>
        <v>6787.4999999999991</v>
      </c>
      <c r="H33" s="23">
        <v>49100</v>
      </c>
      <c r="I33" s="7">
        <v>0.04</v>
      </c>
      <c r="J33" s="89">
        <f>(H33*I33)*D38</f>
        <v>818.33333333333326</v>
      </c>
      <c r="K33" s="23">
        <f t="shared" si="3"/>
        <v>10364.791666666666</v>
      </c>
    </row>
    <row r="34" spans="1:11" s="2" customFormat="1">
      <c r="A34" s="8" t="s">
        <v>60</v>
      </c>
      <c r="B34" s="8"/>
      <c r="C34" s="8"/>
      <c r="D34" s="21">
        <f>SUM(D3:D33)</f>
        <v>172055.13333333336</v>
      </c>
      <c r="E34" s="8"/>
      <c r="F34" s="8"/>
      <c r="G34" s="21">
        <f>SUM(G3:G33)</f>
        <v>486127.5</v>
      </c>
      <c r="H34" s="8"/>
      <c r="I34" s="8"/>
      <c r="J34" s="90">
        <f>SUM(J3:J33)</f>
        <v>58628.666666666664</v>
      </c>
      <c r="K34" s="91">
        <f t="shared" si="3"/>
        <v>716811.29999999993</v>
      </c>
    </row>
    <row r="37" spans="1:11" hidden="1">
      <c r="D37">
        <v>0.58333333333333326</v>
      </c>
    </row>
    <row r="38" spans="1:11" hidden="1">
      <c r="D38">
        <v>0.41666666666666663</v>
      </c>
    </row>
  </sheetData>
  <mergeCells count="5">
    <mergeCell ref="O8:P8"/>
    <mergeCell ref="O11:P11"/>
    <mergeCell ref="O14:P14"/>
    <mergeCell ref="O20:O22"/>
    <mergeCell ref="P20:R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81A1B-5764-4308-9837-E07CDD11ABDF}">
  <sheetPr>
    <tabColor rgb="FFFFC000"/>
  </sheetPr>
  <dimension ref="A1:H26"/>
  <sheetViews>
    <sheetView topLeftCell="A7" workbookViewId="0">
      <selection activeCell="A19" sqref="A19:D20"/>
    </sheetView>
  </sheetViews>
  <sheetFormatPr defaultRowHeight="14.45"/>
  <cols>
    <col min="1" max="1" width="25" customWidth="1"/>
    <col min="2" max="2" width="16.7109375" customWidth="1"/>
    <col min="3" max="3" width="15.85546875" bestFit="1" customWidth="1"/>
    <col min="4" max="4" width="14.85546875" customWidth="1"/>
    <col min="8" max="8" width="19" customWidth="1"/>
  </cols>
  <sheetData>
    <row r="1" spans="1:8">
      <c r="A1" s="2" t="s">
        <v>187</v>
      </c>
    </row>
    <row r="3" spans="1:8">
      <c r="A3" s="8" t="s">
        <v>17</v>
      </c>
      <c r="B3" s="18" t="s">
        <v>188</v>
      </c>
      <c r="D3" s="2" t="s">
        <v>189</v>
      </c>
    </row>
    <row r="4" spans="1:8">
      <c r="A4" s="8" t="s">
        <v>190</v>
      </c>
      <c r="B4" s="18" t="s">
        <v>191</v>
      </c>
      <c r="D4" s="2" t="s">
        <v>99</v>
      </c>
    </row>
    <row r="5" spans="1:8">
      <c r="A5" s="8" t="s">
        <v>192</v>
      </c>
      <c r="B5" s="116">
        <v>151214974.56</v>
      </c>
      <c r="D5" s="33" t="s">
        <v>101</v>
      </c>
    </row>
    <row r="6" spans="1:8">
      <c r="A6" s="8" t="s">
        <v>193</v>
      </c>
      <c r="B6" s="115">
        <f>'DIscounting 7%'!N38</f>
        <v>8107746.1275292328</v>
      </c>
      <c r="D6" s="2" t="s">
        <v>103</v>
      </c>
    </row>
    <row r="7" spans="1:8">
      <c r="A7" s="8"/>
      <c r="B7" s="115"/>
      <c r="D7" s="2"/>
    </row>
    <row r="8" spans="1:8">
      <c r="A8" s="8" t="s">
        <v>194</v>
      </c>
      <c r="B8" s="116">
        <v>159596216.97</v>
      </c>
      <c r="D8" s="2"/>
    </row>
    <row r="9" spans="1:8">
      <c r="A9" s="8" t="s">
        <v>195</v>
      </c>
      <c r="B9" s="115">
        <f>'Disc 3%'!N38</f>
        <v>30085981.338336907</v>
      </c>
    </row>
    <row r="10" spans="1:8">
      <c r="A10" s="2"/>
      <c r="B10" s="117"/>
    </row>
    <row r="11" spans="1:8">
      <c r="A11" s="2"/>
      <c r="B11" s="117"/>
    </row>
    <row r="12" spans="1:8">
      <c r="A12" s="2" t="s">
        <v>174</v>
      </c>
    </row>
    <row r="13" spans="1:8">
      <c r="A13" s="147" t="s">
        <v>196</v>
      </c>
      <c r="B13" s="127"/>
    </row>
    <row r="14" spans="1:8">
      <c r="A14" s="8" t="s">
        <v>197</v>
      </c>
      <c r="B14" s="7">
        <v>60</v>
      </c>
      <c r="H14" s="12"/>
    </row>
    <row r="15" spans="1:8">
      <c r="A15" s="8" t="s">
        <v>198</v>
      </c>
      <c r="B15" s="7">
        <v>30</v>
      </c>
      <c r="H15" s="12"/>
    </row>
    <row r="16" spans="1:8">
      <c r="A16" s="8" t="s">
        <v>199</v>
      </c>
      <c r="B16" s="17">
        <f>B5</f>
        <v>151214974.56</v>
      </c>
      <c r="H16" s="13"/>
    </row>
    <row r="17" spans="1:4">
      <c r="A17" s="24"/>
    </row>
    <row r="18" spans="1:4">
      <c r="A18" s="24"/>
      <c r="C18" s="13"/>
    </row>
    <row r="19" spans="1:4">
      <c r="A19" s="24"/>
      <c r="B19" s="120" t="s">
        <v>66</v>
      </c>
      <c r="C19" s="120" t="s">
        <v>200</v>
      </c>
      <c r="D19" s="120" t="s">
        <v>201</v>
      </c>
    </row>
    <row r="20" spans="1:4">
      <c r="A20" s="61" t="s">
        <v>196</v>
      </c>
      <c r="B20" s="10">
        <v>75607487.280235037</v>
      </c>
      <c r="C20" s="10">
        <v>8107746.1275292328</v>
      </c>
      <c r="D20" s="10">
        <v>30085981.338336907</v>
      </c>
    </row>
    <row r="21" spans="1:4">
      <c r="A21" s="24"/>
    </row>
    <row r="22" spans="1:4">
      <c r="B22" s="13"/>
    </row>
    <row r="25" spans="1:4">
      <c r="B25" s="151"/>
      <c r="C25" s="165"/>
      <c r="D25" s="165"/>
    </row>
    <row r="26" spans="1:4">
      <c r="B26" s="114"/>
      <c r="C26" s="114"/>
      <c r="D26" s="114"/>
    </row>
  </sheetData>
  <mergeCells count="2">
    <mergeCell ref="A13:B13"/>
    <mergeCell ref="B25:D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D1F1859306364BB538023394C49FC7" ma:contentTypeVersion="12" ma:contentTypeDescription="Create a new document." ma:contentTypeScope="" ma:versionID="bc87b4c58c389d610fe96517ea5412ef">
  <xsd:schema xmlns:xsd="http://www.w3.org/2001/XMLSchema" xmlns:xs="http://www.w3.org/2001/XMLSchema" xmlns:p="http://schemas.microsoft.com/office/2006/metadata/properties" xmlns:ns2="72c9bf6a-6460-49be-86d2-e995dead1dff" xmlns:ns3="0115850c-2fdc-40a9-8294-bd8329022500" targetNamespace="http://schemas.microsoft.com/office/2006/metadata/properties" ma:root="true" ma:fieldsID="070b7a09f947d261eaca88b80e28d03b" ns2:_="" ns3:_="">
    <xsd:import namespace="72c9bf6a-6460-49be-86d2-e995dead1dff"/>
    <xsd:import namespace="0115850c-2fdc-40a9-8294-bd83290225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c9bf6a-6460-49be-86d2-e995dead1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15850c-2fdc-40a9-8294-bd832902250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788EDD-3690-48B9-B9E0-5401A4280487}"/>
</file>

<file path=customXml/itemProps2.xml><?xml version="1.0" encoding="utf-8"?>
<ds:datastoreItem xmlns:ds="http://schemas.openxmlformats.org/officeDocument/2006/customXml" ds:itemID="{EAB3AA54-2A7B-4BDD-8C78-96DA5F6BF754}"/>
</file>

<file path=customXml/itemProps3.xml><?xml version="1.0" encoding="utf-8"?>
<ds:datastoreItem xmlns:ds="http://schemas.openxmlformats.org/officeDocument/2006/customXml" ds:itemID="{D2312185-D207-47E2-B178-0C37638AD3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Rodríguez-Rivera</dc:creator>
  <cp:keywords/>
  <dc:description/>
  <cp:lastModifiedBy/>
  <cp:revision/>
  <dcterms:created xsi:type="dcterms:W3CDTF">2022-05-12T01:30:15Z</dcterms:created>
  <dcterms:modified xsi:type="dcterms:W3CDTF">2022-05-23T01:10:38Z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0x010100F5D1F1859306364BB538023394C49FC7</vt:lpwstr>
  </property>
</Properties>
</file>